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kkumail-my.sharepoint.com/personal/itsariyabhorn_b_kkumail_com/Documents/ปี 2565/1.รายงานผล PARA 65/02.Export จาก Google Sheet/11. ข้อมูล ณ 31 มี.ค. 65/Benz/"/>
    </mc:Choice>
  </mc:AlternateContent>
  <xr:revisionPtr revIDLastSave="6" documentId="13_ncr:1_{96BE3C47-D66F-4392-ABA2-4992AC604E31}" xr6:coauthVersionLast="47" xr6:coauthVersionMax="47" xr10:uidLastSave="{A0B5F5BA-5E78-41B3-9FC8-5276FB96A587}"/>
  <bookViews>
    <workbookView xWindow="-108" yWindow="-108" windowWidth="23256" windowHeight="12576" xr2:uid="{00000000-000D-0000-FFFF-FFFF00000000}"/>
  </bookViews>
  <sheets>
    <sheet name="ทั้งประเทศ" sheetId="1" r:id="rId1"/>
  </sheets>
  <definedNames>
    <definedName name="_xlnm.Print_Titles" localSheetId="0">ทั้งประเทศ!$1:$6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6" i="1" l="1"/>
  <c r="L45" i="1"/>
  <c r="L44" i="1"/>
  <c r="I508" i="1"/>
  <c r="N356" i="1"/>
  <c r="L447" i="1"/>
  <c r="J646" i="1" l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A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J620" i="1"/>
  <c r="J619" i="1"/>
  <c r="J618" i="1"/>
  <c r="N616" i="1"/>
  <c r="N615" i="1"/>
  <c r="N614" i="1"/>
  <c r="N613" i="1"/>
  <c r="L612" i="1"/>
  <c r="N611" i="1"/>
  <c r="L611" i="1"/>
  <c r="N609" i="1"/>
  <c r="L609" i="1"/>
  <c r="J608" i="1"/>
  <c r="I608" i="1"/>
  <c r="J607" i="1"/>
  <c r="I607" i="1"/>
  <c r="K607" i="1" s="1"/>
  <c r="J606" i="1"/>
  <c r="I606" i="1"/>
  <c r="J605" i="1"/>
  <c r="I605" i="1"/>
  <c r="K605" i="1" s="1"/>
  <c r="J604" i="1"/>
  <c r="I604" i="1"/>
  <c r="J603" i="1"/>
  <c r="I603" i="1"/>
  <c r="K603" i="1" s="1"/>
  <c r="J602" i="1"/>
  <c r="I602" i="1"/>
  <c r="J601" i="1"/>
  <c r="I601" i="1"/>
  <c r="K601" i="1" s="1"/>
  <c r="J600" i="1"/>
  <c r="I600" i="1"/>
  <c r="N599" i="1"/>
  <c r="N598" i="1"/>
  <c r="N597" i="1"/>
  <c r="N596" i="1"/>
  <c r="L595" i="1"/>
  <c r="N594" i="1"/>
  <c r="L594" i="1"/>
  <c r="N592" i="1"/>
  <c r="L592" i="1"/>
  <c r="L591" i="1"/>
  <c r="J591" i="1"/>
  <c r="I591" i="1"/>
  <c r="J590" i="1"/>
  <c r="I590" i="1"/>
  <c r="K590" i="1" s="1"/>
  <c r="J589" i="1"/>
  <c r="I589" i="1"/>
  <c r="K589" i="1" s="1"/>
  <c r="J588" i="1"/>
  <c r="J587" i="1"/>
  <c r="I587" i="1"/>
  <c r="K587" i="1" s="1"/>
  <c r="K586" i="1"/>
  <c r="J586" i="1"/>
  <c r="J584" i="1"/>
  <c r="I584" i="1"/>
  <c r="N583" i="1"/>
  <c r="N582" i="1"/>
  <c r="N581" i="1"/>
  <c r="N580" i="1"/>
  <c r="L579" i="1"/>
  <c r="N578" i="1"/>
  <c r="L578" i="1"/>
  <c r="O578" i="1" s="1"/>
  <c r="N576" i="1"/>
  <c r="L576" i="1"/>
  <c r="J575" i="1"/>
  <c r="I575" i="1"/>
  <c r="K574" i="1"/>
  <c r="J574" i="1"/>
  <c r="J573" i="1"/>
  <c r="K573" i="1" s="1"/>
  <c r="J572" i="1"/>
  <c r="I572" i="1"/>
  <c r="K572" i="1" s="1"/>
  <c r="J571" i="1"/>
  <c r="I571" i="1"/>
  <c r="I562" i="1" s="1"/>
  <c r="N570" i="1"/>
  <c r="N569" i="1"/>
  <c r="N568" i="1"/>
  <c r="N567" i="1"/>
  <c r="L566" i="1"/>
  <c r="N565" i="1"/>
  <c r="L565" i="1"/>
  <c r="N563" i="1"/>
  <c r="L563" i="1"/>
  <c r="J561" i="1"/>
  <c r="J560" i="1"/>
  <c r="J559" i="1"/>
  <c r="K559" i="1" s="1"/>
  <c r="J558" i="1"/>
  <c r="I558" i="1"/>
  <c r="J557" i="1"/>
  <c r="J556" i="1"/>
  <c r="J555" i="1"/>
  <c r="J554" i="1"/>
  <c r="N552" i="1"/>
  <c r="N551" i="1"/>
  <c r="N550" i="1"/>
  <c r="N549" i="1"/>
  <c r="L548" i="1"/>
  <c r="N547" i="1"/>
  <c r="L547" i="1"/>
  <c r="N545" i="1"/>
  <c r="L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I529" i="1"/>
  <c r="I528" i="1"/>
  <c r="I527" i="1"/>
  <c r="J526" i="1"/>
  <c r="I526" i="1"/>
  <c r="K526" i="1" s="1"/>
  <c r="J525" i="1"/>
  <c r="I525" i="1"/>
  <c r="K525" i="1" s="1"/>
  <c r="J524" i="1"/>
  <c r="I524" i="1"/>
  <c r="K524" i="1" s="1"/>
  <c r="J523" i="1"/>
  <c r="I523" i="1"/>
  <c r="K523" i="1" s="1"/>
  <c r="J522" i="1"/>
  <c r="I522" i="1"/>
  <c r="K522" i="1" s="1"/>
  <c r="J521" i="1"/>
  <c r="I521" i="1"/>
  <c r="K521" i="1" s="1"/>
  <c r="J520" i="1"/>
  <c r="I520" i="1"/>
  <c r="K520" i="1" s="1"/>
  <c r="J519" i="1"/>
  <c r="I519" i="1"/>
  <c r="K519" i="1" s="1"/>
  <c r="J518" i="1"/>
  <c r="I518" i="1"/>
  <c r="K518" i="1" s="1"/>
  <c r="J517" i="1"/>
  <c r="I517" i="1"/>
  <c r="K517" i="1" s="1"/>
  <c r="J516" i="1"/>
  <c r="I516" i="1"/>
  <c r="K516" i="1" s="1"/>
  <c r="J515" i="1"/>
  <c r="I515" i="1"/>
  <c r="K515" i="1" s="1"/>
  <c r="J514" i="1"/>
  <c r="I514" i="1"/>
  <c r="K514" i="1" s="1"/>
  <c r="J513" i="1"/>
  <c r="I513" i="1"/>
  <c r="K513" i="1" s="1"/>
  <c r="J512" i="1"/>
  <c r="I512" i="1"/>
  <c r="K512" i="1" s="1"/>
  <c r="J511" i="1"/>
  <c r="I511" i="1"/>
  <c r="K511" i="1" s="1"/>
  <c r="J510" i="1"/>
  <c r="I510" i="1"/>
  <c r="J509" i="1"/>
  <c r="I509" i="1"/>
  <c r="J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I503" i="1"/>
  <c r="K503" i="1" s="1"/>
  <c r="J502" i="1"/>
  <c r="I502" i="1"/>
  <c r="K502" i="1" s="1"/>
  <c r="J501" i="1"/>
  <c r="I501" i="1"/>
  <c r="K501" i="1" s="1"/>
  <c r="J500" i="1"/>
  <c r="I500" i="1"/>
  <c r="K500" i="1" s="1"/>
  <c r="J499" i="1"/>
  <c r="I499" i="1"/>
  <c r="K499" i="1" s="1"/>
  <c r="J498" i="1"/>
  <c r="I498" i="1"/>
  <c r="K498" i="1" s="1"/>
  <c r="J497" i="1"/>
  <c r="I497" i="1"/>
  <c r="K497" i="1" s="1"/>
  <c r="J496" i="1"/>
  <c r="I496" i="1"/>
  <c r="K496" i="1" s="1"/>
  <c r="J495" i="1"/>
  <c r="I495" i="1"/>
  <c r="K495" i="1" s="1"/>
  <c r="J494" i="1"/>
  <c r="I494" i="1"/>
  <c r="K494" i="1" s="1"/>
  <c r="J493" i="1"/>
  <c r="I493" i="1"/>
  <c r="J492" i="1"/>
  <c r="I492" i="1"/>
  <c r="J491" i="1"/>
  <c r="I491" i="1"/>
  <c r="K491" i="1" s="1"/>
  <c r="J490" i="1"/>
  <c r="I490" i="1"/>
  <c r="K490" i="1" s="1"/>
  <c r="J489" i="1"/>
  <c r="I489" i="1"/>
  <c r="K489" i="1" s="1"/>
  <c r="J488" i="1"/>
  <c r="I488" i="1"/>
  <c r="K488" i="1" s="1"/>
  <c r="J487" i="1"/>
  <c r="I487" i="1"/>
  <c r="K487" i="1" s="1"/>
  <c r="J486" i="1"/>
  <c r="I486" i="1"/>
  <c r="K486" i="1" s="1"/>
  <c r="J485" i="1"/>
  <c r="I485" i="1"/>
  <c r="J484" i="1"/>
  <c r="I484" i="1"/>
  <c r="J483" i="1"/>
  <c r="I483" i="1"/>
  <c r="K483" i="1" s="1"/>
  <c r="J482" i="1"/>
  <c r="I482" i="1"/>
  <c r="K482" i="1" s="1"/>
  <c r="J481" i="1"/>
  <c r="I481" i="1"/>
  <c r="K481" i="1" s="1"/>
  <c r="J480" i="1"/>
  <c r="I480" i="1"/>
  <c r="K480" i="1" s="1"/>
  <c r="J479" i="1"/>
  <c r="I479" i="1"/>
  <c r="K479" i="1" s="1"/>
  <c r="J478" i="1"/>
  <c r="I478" i="1"/>
  <c r="K478" i="1" s="1"/>
  <c r="J477" i="1"/>
  <c r="I477" i="1"/>
  <c r="J476" i="1"/>
  <c r="I476" i="1"/>
  <c r="J475" i="1"/>
  <c r="K475" i="1" s="1"/>
  <c r="N474" i="1"/>
  <c r="N473" i="1"/>
  <c r="N472" i="1"/>
  <c r="N471" i="1"/>
  <c r="L470" i="1"/>
  <c r="N469" i="1"/>
  <c r="L469" i="1"/>
  <c r="N467" i="1"/>
  <c r="L467" i="1"/>
  <c r="J466" i="1"/>
  <c r="K466" i="1" s="1"/>
  <c r="J465" i="1"/>
  <c r="J464" i="1"/>
  <c r="J463" i="1"/>
  <c r="K463" i="1" s="1"/>
  <c r="J462" i="1"/>
  <c r="I462" i="1"/>
  <c r="J461" i="1"/>
  <c r="I461" i="1"/>
  <c r="J459" i="1"/>
  <c r="J458" i="1"/>
  <c r="J457" i="1"/>
  <c r="J456" i="1"/>
  <c r="N454" i="1"/>
  <c r="N453" i="1"/>
  <c r="N452" i="1"/>
  <c r="N451" i="1"/>
  <c r="L450" i="1"/>
  <c r="N449" i="1"/>
  <c r="L449" i="1"/>
  <c r="N447" i="1"/>
  <c r="J445" i="1"/>
  <c r="J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J425" i="1"/>
  <c r="J424" i="1"/>
  <c r="J423" i="1"/>
  <c r="N421" i="1"/>
  <c r="N420" i="1"/>
  <c r="N419" i="1"/>
  <c r="N418" i="1"/>
  <c r="L417" i="1"/>
  <c r="N416" i="1"/>
  <c r="L416" i="1"/>
  <c r="N414" i="1"/>
  <c r="L414" i="1"/>
  <c r="J413" i="1"/>
  <c r="I413" i="1"/>
  <c r="J412" i="1"/>
  <c r="I412" i="1"/>
  <c r="J411" i="1"/>
  <c r="J410" i="1"/>
  <c r="J409" i="1"/>
  <c r="I409" i="1"/>
  <c r="J408" i="1"/>
  <c r="I408" i="1"/>
  <c r="J407" i="1"/>
  <c r="I407" i="1"/>
  <c r="J405" i="1"/>
  <c r="J404" i="1"/>
  <c r="J403" i="1"/>
  <c r="J402" i="1"/>
  <c r="N400" i="1"/>
  <c r="N399" i="1"/>
  <c r="N398" i="1"/>
  <c r="N397" i="1"/>
  <c r="L396" i="1"/>
  <c r="N395" i="1"/>
  <c r="L395" i="1"/>
  <c r="N393" i="1"/>
  <c r="L393" i="1"/>
  <c r="J392" i="1"/>
  <c r="I392" i="1"/>
  <c r="J391" i="1"/>
  <c r="I391" i="1"/>
  <c r="J390" i="1"/>
  <c r="J389" i="1"/>
  <c r="J388" i="1"/>
  <c r="I388" i="1"/>
  <c r="J387" i="1"/>
  <c r="I387" i="1"/>
  <c r="J386" i="1"/>
  <c r="I386" i="1"/>
  <c r="J384" i="1"/>
  <c r="K384" i="1" s="1"/>
  <c r="J383" i="1"/>
  <c r="I383" i="1"/>
  <c r="J381" i="1"/>
  <c r="I381" i="1"/>
  <c r="J379" i="1"/>
  <c r="I379" i="1"/>
  <c r="J378" i="1"/>
  <c r="I378" i="1"/>
  <c r="K378" i="1" s="1"/>
  <c r="J376" i="1"/>
  <c r="K376" i="1" s="1"/>
  <c r="J375" i="1"/>
  <c r="J374" i="1"/>
  <c r="J373" i="1"/>
  <c r="J372" i="1"/>
  <c r="J371" i="1"/>
  <c r="N369" i="1"/>
  <c r="N368" i="1"/>
  <c r="N367" i="1"/>
  <c r="N366" i="1"/>
  <c r="L365" i="1"/>
  <c r="N364" i="1"/>
  <c r="L364" i="1"/>
  <c r="O364" i="1" s="1"/>
  <c r="N362" i="1"/>
  <c r="L362" i="1"/>
  <c r="J361" i="1"/>
  <c r="I361" i="1"/>
  <c r="J360" i="1"/>
  <c r="I360" i="1"/>
  <c r="O357" i="1"/>
  <c r="L356" i="1"/>
  <c r="P353" i="1"/>
  <c r="O353" i="1"/>
  <c r="N352" i="1"/>
  <c r="M352" i="1"/>
  <c r="L352" i="1"/>
  <c r="O352" i="1" s="1"/>
  <c r="N351" i="1"/>
  <c r="M351" i="1"/>
  <c r="P351" i="1" s="1"/>
  <c r="L351" i="1"/>
  <c r="O351" i="1" s="1"/>
  <c r="K348" i="1"/>
  <c r="J346" i="1"/>
  <c r="I346" i="1"/>
  <c r="K346" i="1" s="1"/>
  <c r="J345" i="1"/>
  <c r="I345" i="1"/>
  <c r="J344" i="1"/>
  <c r="I344" i="1"/>
  <c r="K344" i="1" s="1"/>
  <c r="J343" i="1"/>
  <c r="I343" i="1"/>
  <c r="J342" i="1"/>
  <c r="I342" i="1"/>
  <c r="K342" i="1" s="1"/>
  <c r="J341" i="1"/>
  <c r="I341" i="1"/>
  <c r="J340" i="1"/>
  <c r="I340" i="1"/>
  <c r="J339" i="1"/>
  <c r="I339" i="1"/>
  <c r="K339" i="1" s="1"/>
  <c r="N337" i="1"/>
  <c r="M337" i="1"/>
  <c r="L337" i="1"/>
  <c r="N336" i="1"/>
  <c r="L336" i="1"/>
  <c r="L335" i="1"/>
  <c r="L334" i="1"/>
  <c r="N333" i="1"/>
  <c r="M333" i="1"/>
  <c r="L333" i="1"/>
  <c r="N332" i="1"/>
  <c r="M332" i="1"/>
  <c r="L332" i="1"/>
  <c r="J328" i="1"/>
  <c r="I328" i="1"/>
  <c r="J326" i="1"/>
  <c r="J325" i="1"/>
  <c r="J324" i="1"/>
  <c r="I324" i="1"/>
  <c r="J323" i="1"/>
  <c r="J322" i="1"/>
  <c r="J321" i="1"/>
  <c r="J320" i="1"/>
  <c r="N318" i="1"/>
  <c r="M318" i="1"/>
  <c r="L318" i="1"/>
  <c r="N317" i="1"/>
  <c r="L317" i="1"/>
  <c r="L316" i="1"/>
  <c r="L315" i="1"/>
  <c r="N314" i="1"/>
  <c r="M314" i="1"/>
  <c r="L314" i="1"/>
  <c r="N313" i="1"/>
  <c r="M313" i="1"/>
  <c r="M311" i="1" s="1"/>
  <c r="L313" i="1"/>
  <c r="J309" i="1"/>
  <c r="I309" i="1"/>
  <c r="J308" i="1"/>
  <c r="J307" i="1"/>
  <c r="J306" i="1"/>
  <c r="I306" i="1"/>
  <c r="J304" i="1"/>
  <c r="I304" i="1"/>
  <c r="J303" i="1"/>
  <c r="J302" i="1"/>
  <c r="J301" i="1"/>
  <c r="J300" i="1"/>
  <c r="N298" i="1"/>
  <c r="M298" i="1"/>
  <c r="L298" i="1"/>
  <c r="N297" i="1"/>
  <c r="L297" i="1"/>
  <c r="L296" i="1"/>
  <c r="L295" i="1"/>
  <c r="N294" i="1"/>
  <c r="M294" i="1"/>
  <c r="L294" i="1"/>
  <c r="N293" i="1"/>
  <c r="M293" i="1"/>
  <c r="M291" i="1" s="1"/>
  <c r="L293" i="1"/>
  <c r="L291" i="1" s="1"/>
  <c r="J289" i="1"/>
  <c r="I289" i="1"/>
  <c r="J287" i="1"/>
  <c r="J286" i="1"/>
  <c r="J285" i="1"/>
  <c r="I285" i="1"/>
  <c r="J284" i="1"/>
  <c r="J283" i="1"/>
  <c r="J282" i="1"/>
  <c r="J281" i="1"/>
  <c r="N279" i="1"/>
  <c r="L279" i="1"/>
  <c r="N278" i="1"/>
  <c r="L278" i="1"/>
  <c r="L277" i="1"/>
  <c r="L276" i="1"/>
  <c r="N275" i="1"/>
  <c r="M275" i="1"/>
  <c r="L275" i="1"/>
  <c r="N274" i="1"/>
  <c r="M274" i="1"/>
  <c r="M272" i="1" s="1"/>
  <c r="L274" i="1"/>
  <c r="J270" i="1"/>
  <c r="I270" i="1"/>
  <c r="J269" i="1"/>
  <c r="J268" i="1"/>
  <c r="J267" i="1"/>
  <c r="I267" i="1"/>
  <c r="J266" i="1"/>
  <c r="I266" i="1"/>
  <c r="J265" i="1"/>
  <c r="I265" i="1"/>
  <c r="J264" i="1"/>
  <c r="I264" i="1"/>
  <c r="J263" i="1"/>
  <c r="J262" i="1"/>
  <c r="J261" i="1"/>
  <c r="J260" i="1"/>
  <c r="N258" i="1"/>
  <c r="L258" i="1"/>
  <c r="O258" i="1" s="1"/>
  <c r="N257" i="1"/>
  <c r="L257" i="1"/>
  <c r="L256" i="1"/>
  <c r="L255" i="1"/>
  <c r="N254" i="1"/>
  <c r="M254" i="1"/>
  <c r="M252" i="1" s="1"/>
  <c r="L254" i="1"/>
  <c r="N253" i="1"/>
  <c r="M253" i="1"/>
  <c r="L253" i="1"/>
  <c r="J249" i="1"/>
  <c r="I249" i="1"/>
  <c r="J246" i="1"/>
  <c r="J245" i="1"/>
  <c r="J244" i="1"/>
  <c r="K244" i="1" s="1"/>
  <c r="J243" i="1"/>
  <c r="J242" i="1"/>
  <c r="J241" i="1"/>
  <c r="J240" i="1"/>
  <c r="J237" i="1"/>
  <c r="J236" i="1"/>
  <c r="J235" i="1"/>
  <c r="I235" i="1"/>
  <c r="J234" i="1"/>
  <c r="J233" i="1"/>
  <c r="J232" i="1"/>
  <c r="J231" i="1"/>
  <c r="J229" i="1"/>
  <c r="K229" i="1" s="1"/>
  <c r="N228" i="1"/>
  <c r="L228" i="1"/>
  <c r="O228" i="1" s="1"/>
  <c r="N227" i="1"/>
  <c r="L227" i="1"/>
  <c r="L226" i="1"/>
  <c r="L225" i="1"/>
  <c r="N224" i="1"/>
  <c r="M224" i="1"/>
  <c r="L224" i="1"/>
  <c r="N223" i="1"/>
  <c r="M223" i="1"/>
  <c r="L223" i="1"/>
  <c r="J218" i="1"/>
  <c r="J217" i="1"/>
  <c r="J216" i="1"/>
  <c r="I216" i="1"/>
  <c r="J215" i="1"/>
  <c r="I215" i="1"/>
  <c r="J214" i="1"/>
  <c r="I214" i="1"/>
  <c r="J213" i="1"/>
  <c r="I213" i="1"/>
  <c r="J212" i="1"/>
  <c r="J211" i="1"/>
  <c r="J210" i="1"/>
  <c r="J209" i="1"/>
  <c r="J204" i="1"/>
  <c r="I204" i="1"/>
  <c r="J203" i="1"/>
  <c r="J202" i="1"/>
  <c r="J201" i="1"/>
  <c r="I201" i="1"/>
  <c r="J200" i="1"/>
  <c r="I200" i="1"/>
  <c r="J199" i="1"/>
  <c r="I199" i="1"/>
  <c r="J198" i="1"/>
  <c r="J197" i="1"/>
  <c r="J196" i="1"/>
  <c r="J195" i="1"/>
  <c r="J194" i="1"/>
  <c r="J189" i="1"/>
  <c r="I189" i="1"/>
  <c r="J188" i="1"/>
  <c r="J187" i="1"/>
  <c r="J186" i="1"/>
  <c r="I186" i="1"/>
  <c r="J185" i="1"/>
  <c r="I185" i="1"/>
  <c r="J184" i="1"/>
  <c r="J183" i="1"/>
  <c r="J182" i="1"/>
  <c r="J181" i="1"/>
  <c r="J176" i="1"/>
  <c r="I176" i="1"/>
  <c r="J175" i="1"/>
  <c r="J174" i="1"/>
  <c r="J173" i="1"/>
  <c r="I173" i="1"/>
  <c r="J172" i="1"/>
  <c r="J171" i="1"/>
  <c r="J170" i="1"/>
  <c r="J169" i="1"/>
  <c r="J164" i="1"/>
  <c r="I164" i="1"/>
  <c r="J163" i="1"/>
  <c r="J162" i="1"/>
  <c r="J161" i="1"/>
  <c r="J160" i="1"/>
  <c r="J159" i="1"/>
  <c r="J158" i="1"/>
  <c r="I158" i="1"/>
  <c r="J157" i="1"/>
  <c r="J156" i="1"/>
  <c r="J155" i="1"/>
  <c r="J154" i="1"/>
  <c r="J149" i="1"/>
  <c r="I149" i="1"/>
  <c r="N148" i="1"/>
  <c r="M148" i="1"/>
  <c r="L148" i="1"/>
  <c r="N147" i="1"/>
  <c r="L147" i="1"/>
  <c r="L146" i="1"/>
  <c r="L145" i="1"/>
  <c r="N144" i="1"/>
  <c r="M144" i="1"/>
  <c r="L144" i="1"/>
  <c r="N143" i="1"/>
  <c r="M143" i="1"/>
  <c r="L143" i="1"/>
  <c r="J138" i="1"/>
  <c r="I138" i="1"/>
  <c r="J135" i="1"/>
  <c r="J134" i="1"/>
  <c r="J133" i="1"/>
  <c r="I133" i="1"/>
  <c r="J132" i="1"/>
  <c r="I132" i="1"/>
  <c r="J131" i="1"/>
  <c r="J130" i="1"/>
  <c r="J129" i="1"/>
  <c r="J128" i="1"/>
  <c r="N126" i="1"/>
  <c r="L126" i="1"/>
  <c r="N125" i="1"/>
  <c r="L125" i="1"/>
  <c r="L124" i="1"/>
  <c r="L123" i="1"/>
  <c r="N122" i="1"/>
  <c r="M122" i="1"/>
  <c r="M120" i="1" s="1"/>
  <c r="L122" i="1"/>
  <c r="N121" i="1"/>
  <c r="M121" i="1"/>
  <c r="M119" i="1" s="1"/>
  <c r="L121" i="1"/>
  <c r="J117" i="1"/>
  <c r="I117" i="1"/>
  <c r="J115" i="1"/>
  <c r="J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J106" i="1"/>
  <c r="J105" i="1"/>
  <c r="J104" i="1"/>
  <c r="N102" i="1"/>
  <c r="M102" i="1"/>
  <c r="L102" i="1"/>
  <c r="N101" i="1"/>
  <c r="L101" i="1"/>
  <c r="L100" i="1"/>
  <c r="L99" i="1"/>
  <c r="N98" i="1"/>
  <c r="M98" i="1"/>
  <c r="L98" i="1"/>
  <c r="N97" i="1"/>
  <c r="M97" i="1"/>
  <c r="M95" i="1" s="1"/>
  <c r="L97" i="1"/>
  <c r="J93" i="1"/>
  <c r="I93" i="1"/>
  <c r="J92" i="1"/>
  <c r="I92" i="1"/>
  <c r="J90" i="1"/>
  <c r="J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J78" i="1"/>
  <c r="J77" i="1"/>
  <c r="J76" i="1"/>
  <c r="N74" i="1"/>
  <c r="M74" i="1"/>
  <c r="L74" i="1"/>
  <c r="N73" i="1"/>
  <c r="L73" i="1"/>
  <c r="L72" i="1"/>
  <c r="L71" i="1"/>
  <c r="N70" i="1"/>
  <c r="M70" i="1"/>
  <c r="L70" i="1"/>
  <c r="N69" i="1"/>
  <c r="M69" i="1"/>
  <c r="M67" i="1" s="1"/>
  <c r="L69" i="1"/>
  <c r="J65" i="1"/>
  <c r="I65" i="1"/>
  <c r="J64" i="1"/>
  <c r="I64" i="1"/>
  <c r="N61" i="1"/>
  <c r="L61" i="1"/>
  <c r="O61" i="1" s="1"/>
  <c r="N60" i="1"/>
  <c r="L60" i="1"/>
  <c r="L59" i="1"/>
  <c r="L58" i="1"/>
  <c r="N57" i="1"/>
  <c r="M57" i="1"/>
  <c r="L57" i="1"/>
  <c r="N56" i="1"/>
  <c r="M56" i="1"/>
  <c r="M54" i="1" s="1"/>
  <c r="L56" i="1"/>
  <c r="N49" i="1"/>
  <c r="M49" i="1"/>
  <c r="L49" i="1"/>
  <c r="N48" i="1"/>
  <c r="L48" i="1"/>
  <c r="L47" i="1"/>
  <c r="N45" i="1"/>
  <c r="M45" i="1"/>
  <c r="N44" i="1"/>
  <c r="M44" i="1"/>
  <c r="P36" i="1"/>
  <c r="O36" i="1"/>
  <c r="P35" i="1"/>
  <c r="O35" i="1"/>
  <c r="M34" i="1"/>
  <c r="P34" i="1" s="1"/>
  <c r="M33" i="1"/>
  <c r="P33" i="1" s="1"/>
  <c r="M32" i="1"/>
  <c r="P32" i="1" s="1"/>
  <c r="M31" i="1"/>
  <c r="P31" i="1" s="1"/>
  <c r="N24" i="1"/>
  <c r="M24" i="1"/>
  <c r="P24" i="1" s="1"/>
  <c r="N23" i="1"/>
  <c r="M23" i="1"/>
  <c r="P23" i="1" s="1"/>
  <c r="L119" i="1" l="1"/>
  <c r="M13" i="1"/>
  <c r="P13" i="1" s="1"/>
  <c r="L67" i="1"/>
  <c r="L141" i="1"/>
  <c r="L251" i="1"/>
  <c r="O318" i="1"/>
  <c r="K604" i="1"/>
  <c r="K629" i="1"/>
  <c r="L43" i="1"/>
  <c r="P74" i="1"/>
  <c r="N272" i="1"/>
  <c r="P272" i="1" s="1"/>
  <c r="K634" i="1"/>
  <c r="K643" i="1"/>
  <c r="K80" i="1"/>
  <c r="O313" i="1"/>
  <c r="K149" i="1"/>
  <c r="K343" i="1"/>
  <c r="L252" i="1"/>
  <c r="O298" i="1"/>
  <c r="K216" i="1"/>
  <c r="K437" i="1"/>
  <c r="N221" i="1"/>
  <c r="N67" i="1"/>
  <c r="O67" i="1" s="1"/>
  <c r="K270" i="1"/>
  <c r="N365" i="1"/>
  <c r="N363" i="1" s="1"/>
  <c r="N360" i="1" s="1"/>
  <c r="K65" i="1"/>
  <c r="K493" i="1"/>
  <c r="N42" i="1"/>
  <c r="K64" i="1"/>
  <c r="K85" i="1"/>
  <c r="L96" i="1"/>
  <c r="L222" i="1"/>
  <c r="K461" i="1"/>
  <c r="L593" i="1"/>
  <c r="M292" i="1"/>
  <c r="M290" i="1" s="1"/>
  <c r="K110" i="1"/>
  <c r="K409" i="1"/>
  <c r="K111" i="1"/>
  <c r="L350" i="1"/>
  <c r="L349" i="1" s="1"/>
  <c r="K108" i="1"/>
  <c r="K112" i="1"/>
  <c r="K189" i="1"/>
  <c r="K379" i="1"/>
  <c r="J238" i="1"/>
  <c r="K238" i="1" s="1"/>
  <c r="L331" i="1"/>
  <c r="N350" i="1"/>
  <c r="N349" i="1" s="1"/>
  <c r="K622" i="1"/>
  <c r="K267" i="1"/>
  <c r="J528" i="1"/>
  <c r="O254" i="1"/>
  <c r="N141" i="1"/>
  <c r="O227" i="1"/>
  <c r="K289" i="1"/>
  <c r="O362" i="1"/>
  <c r="K133" i="1"/>
  <c r="P223" i="1"/>
  <c r="K235" i="1"/>
  <c r="K386" i="1"/>
  <c r="K430" i="1"/>
  <c r="K434" i="1"/>
  <c r="K438" i="1"/>
  <c r="K641" i="1"/>
  <c r="K83" i="1"/>
  <c r="K158" i="1"/>
  <c r="K304" i="1"/>
  <c r="P332" i="1"/>
  <c r="N330" i="1"/>
  <c r="K345" i="1"/>
  <c r="K646" i="1"/>
  <c r="N54" i="1"/>
  <c r="P54" i="1" s="1"/>
  <c r="O143" i="1"/>
  <c r="K285" i="1"/>
  <c r="N311" i="1"/>
  <c r="P311" i="1" s="1"/>
  <c r="O414" i="1"/>
  <c r="K436" i="1"/>
  <c r="K476" i="1"/>
  <c r="K510" i="1"/>
  <c r="K640" i="1"/>
  <c r="K644" i="1"/>
  <c r="K306" i="1"/>
  <c r="M26" i="1"/>
  <c r="M356" i="1"/>
  <c r="M350" i="1" s="1"/>
  <c r="M349" i="1" s="1"/>
  <c r="L34" i="1"/>
  <c r="N33" i="1"/>
  <c r="N13" i="1" s="1"/>
  <c r="K575" i="1"/>
  <c r="N595" i="1"/>
  <c r="O595" i="1" s="1"/>
  <c r="K628" i="1"/>
  <c r="N55" i="1"/>
  <c r="P97" i="1"/>
  <c r="O294" i="1"/>
  <c r="K391" i="1"/>
  <c r="K442" i="1"/>
  <c r="L33" i="1"/>
  <c r="O33" i="1" s="1"/>
  <c r="K186" i="1"/>
  <c r="N312" i="1"/>
  <c r="K392" i="1"/>
  <c r="K427" i="1"/>
  <c r="K625" i="1"/>
  <c r="K637" i="1"/>
  <c r="N43" i="1"/>
  <c r="L24" i="1"/>
  <c r="O24" i="1" s="1"/>
  <c r="P70" i="1"/>
  <c r="N96" i="1"/>
  <c r="K109" i="1"/>
  <c r="N26" i="1"/>
  <c r="N16" i="1" s="1"/>
  <c r="K309" i="1"/>
  <c r="K360" i="1"/>
  <c r="K381" i="1"/>
  <c r="K431" i="1"/>
  <c r="K439" i="1"/>
  <c r="K584" i="1"/>
  <c r="O592" i="1"/>
  <c r="N68" i="1"/>
  <c r="N95" i="1"/>
  <c r="K204" i="1"/>
  <c r="K265" i="1"/>
  <c r="N292" i="1"/>
  <c r="P313" i="1"/>
  <c r="L363" i="1"/>
  <c r="L360" i="1" s="1"/>
  <c r="O447" i="1"/>
  <c r="L577" i="1"/>
  <c r="L575" i="1" s="1"/>
  <c r="K93" i="1"/>
  <c r="P294" i="1"/>
  <c r="K428" i="1"/>
  <c r="L31" i="1"/>
  <c r="L29" i="1" s="1"/>
  <c r="O69" i="1"/>
  <c r="K81" i="1"/>
  <c r="P98" i="1"/>
  <c r="K117" i="1"/>
  <c r="O122" i="1"/>
  <c r="K185" i="1"/>
  <c r="K201" i="1"/>
  <c r="K249" i="1"/>
  <c r="K266" i="1"/>
  <c r="N21" i="1"/>
  <c r="L311" i="1"/>
  <c r="O393" i="1"/>
  <c r="K432" i="1"/>
  <c r="K440" i="1"/>
  <c r="K443" i="1"/>
  <c r="L448" i="1"/>
  <c r="L446" i="1" s="1"/>
  <c r="K623" i="1"/>
  <c r="K626" i="1"/>
  <c r="O44" i="1"/>
  <c r="O70" i="1"/>
  <c r="O97" i="1"/>
  <c r="N31" i="1"/>
  <c r="N29" i="1" s="1"/>
  <c r="P44" i="1"/>
  <c r="K113" i="1"/>
  <c r="N120" i="1"/>
  <c r="P120" i="1" s="1"/>
  <c r="O144" i="1"/>
  <c r="K164" i="1"/>
  <c r="K173" i="1"/>
  <c r="K264" i="1"/>
  <c r="P314" i="1"/>
  <c r="L415" i="1"/>
  <c r="L412" i="1" s="1"/>
  <c r="K433" i="1"/>
  <c r="J460" i="1"/>
  <c r="J446" i="1" s="1"/>
  <c r="K509" i="1"/>
  <c r="O576" i="1"/>
  <c r="N579" i="1"/>
  <c r="N577" i="1" s="1"/>
  <c r="N575" i="1" s="1"/>
  <c r="K633" i="1"/>
  <c r="M68" i="1"/>
  <c r="K86" i="1"/>
  <c r="O98" i="1"/>
  <c r="L142" i="1"/>
  <c r="L140" i="1" s="1"/>
  <c r="O148" i="1"/>
  <c r="L292" i="1"/>
  <c r="K477" i="1"/>
  <c r="K536" i="1"/>
  <c r="K571" i="1"/>
  <c r="K588" i="1"/>
  <c r="K591" i="1"/>
  <c r="K632" i="1"/>
  <c r="L25" i="1"/>
  <c r="L15" i="1" s="1"/>
  <c r="K84" i="1"/>
  <c r="L95" i="1"/>
  <c r="O121" i="1"/>
  <c r="K132" i="1"/>
  <c r="N142" i="1"/>
  <c r="P274" i="1"/>
  <c r="P318" i="1"/>
  <c r="O336" i="1"/>
  <c r="K387" i="1"/>
  <c r="O416" i="1"/>
  <c r="K435" i="1"/>
  <c r="O449" i="1"/>
  <c r="K485" i="1"/>
  <c r="J527" i="1"/>
  <c r="K527" i="1" s="1"/>
  <c r="O563" i="1"/>
  <c r="K600" i="1"/>
  <c r="K606" i="1"/>
  <c r="K624" i="1"/>
  <c r="K627" i="1"/>
  <c r="K635" i="1"/>
  <c r="K639" i="1"/>
  <c r="K642" i="1"/>
  <c r="K645" i="1"/>
  <c r="L26" i="1"/>
  <c r="K82" i="1"/>
  <c r="K87" i="1"/>
  <c r="K92" i="1"/>
  <c r="L23" i="1"/>
  <c r="O23" i="1" s="1"/>
  <c r="P122" i="1"/>
  <c r="K138" i="1"/>
  <c r="P143" i="1"/>
  <c r="K324" i="1"/>
  <c r="O333" i="1"/>
  <c r="K340" i="1"/>
  <c r="K361" i="1"/>
  <c r="K407" i="1"/>
  <c r="K537" i="1"/>
  <c r="K630" i="1"/>
  <c r="M43" i="1"/>
  <c r="K215" i="1"/>
  <c r="L394" i="1"/>
  <c r="L391" i="1" s="1"/>
  <c r="N450" i="1"/>
  <c r="O450" i="1" s="1"/>
  <c r="N470" i="1"/>
  <c r="K636" i="1"/>
  <c r="N22" i="1"/>
  <c r="L55" i="1"/>
  <c r="K88" i="1"/>
  <c r="K176" i="1"/>
  <c r="K200" i="1"/>
  <c r="K213" i="1"/>
  <c r="P298" i="1"/>
  <c r="K341" i="1"/>
  <c r="K388" i="1"/>
  <c r="K408" i="1"/>
  <c r="K412" i="1"/>
  <c r="N417" i="1"/>
  <c r="N415" i="1" s="1"/>
  <c r="N412" i="1" s="1"/>
  <c r="K429" i="1"/>
  <c r="K441" i="1"/>
  <c r="K544" i="1"/>
  <c r="K631" i="1"/>
  <c r="N25" i="1"/>
  <c r="N15" i="1" s="1"/>
  <c r="M48" i="1"/>
  <c r="O49" i="1"/>
  <c r="P121" i="1"/>
  <c r="N119" i="1"/>
  <c r="M141" i="1"/>
  <c r="L22" i="1"/>
  <c r="M30" i="1"/>
  <c r="P30" i="1" s="1"/>
  <c r="O45" i="1"/>
  <c r="P69" i="1"/>
  <c r="P144" i="1"/>
  <c r="M142" i="1"/>
  <c r="P148" i="1"/>
  <c r="P224" i="1"/>
  <c r="M222" i="1"/>
  <c r="N291" i="1"/>
  <c r="P293" i="1"/>
  <c r="O293" i="1"/>
  <c r="L312" i="1"/>
  <c r="O314" i="1"/>
  <c r="O356" i="1"/>
  <c r="O565" i="1"/>
  <c r="L564" i="1"/>
  <c r="L21" i="1"/>
  <c r="M22" i="1"/>
  <c r="M29" i="1"/>
  <c r="P45" i="1"/>
  <c r="O48" i="1"/>
  <c r="P56" i="1"/>
  <c r="L68" i="1"/>
  <c r="O74" i="1"/>
  <c r="O223" i="1"/>
  <c r="L221" i="1"/>
  <c r="N222" i="1"/>
  <c r="O224" i="1"/>
  <c r="P253" i="1"/>
  <c r="M251" i="1"/>
  <c r="P275" i="1"/>
  <c r="M273" i="1"/>
  <c r="O279" i="1"/>
  <c r="L273" i="1"/>
  <c r="M336" i="1"/>
  <c r="P336" i="1" s="1"/>
  <c r="O611" i="1"/>
  <c r="L610" i="1"/>
  <c r="O56" i="1"/>
  <c r="L54" i="1"/>
  <c r="L120" i="1"/>
  <c r="O126" i="1"/>
  <c r="K462" i="1"/>
  <c r="I460" i="1"/>
  <c r="M118" i="1"/>
  <c r="M227" i="1"/>
  <c r="P227" i="1" s="1"/>
  <c r="P254" i="1"/>
  <c r="N252" i="1"/>
  <c r="P252" i="1" s="1"/>
  <c r="M14" i="1"/>
  <c r="P14" i="1" s="1"/>
  <c r="M21" i="1"/>
  <c r="L42" i="1"/>
  <c r="O57" i="1"/>
  <c r="O102" i="1"/>
  <c r="K199" i="1"/>
  <c r="N251" i="1"/>
  <c r="O251" i="1" s="1"/>
  <c r="O253" i="1"/>
  <c r="O274" i="1"/>
  <c r="L272" i="1"/>
  <c r="N273" i="1"/>
  <c r="O275" i="1"/>
  <c r="O547" i="1"/>
  <c r="L546" i="1"/>
  <c r="N566" i="1"/>
  <c r="N564" i="1" s="1"/>
  <c r="N562" i="1" s="1"/>
  <c r="P49" i="1"/>
  <c r="P57" i="1"/>
  <c r="M55" i="1"/>
  <c r="M96" i="1"/>
  <c r="P102" i="1"/>
  <c r="K383" i="1"/>
  <c r="K602" i="1"/>
  <c r="K608" i="1"/>
  <c r="P333" i="1"/>
  <c r="M331" i="1"/>
  <c r="N396" i="1"/>
  <c r="N394" i="1" s="1"/>
  <c r="L468" i="1"/>
  <c r="L466" i="1" s="1"/>
  <c r="O469" i="1"/>
  <c r="M312" i="1"/>
  <c r="K328" i="1"/>
  <c r="O332" i="1"/>
  <c r="L330" i="1"/>
  <c r="N331" i="1"/>
  <c r="K484" i="1"/>
  <c r="K508" i="1"/>
  <c r="O545" i="1"/>
  <c r="N548" i="1"/>
  <c r="O548" i="1" s="1"/>
  <c r="J562" i="1"/>
  <c r="K562" i="1" s="1"/>
  <c r="O609" i="1"/>
  <c r="N612" i="1"/>
  <c r="O612" i="1" s="1"/>
  <c r="O337" i="1"/>
  <c r="O467" i="1"/>
  <c r="P337" i="1"/>
  <c r="O395" i="1"/>
  <c r="K413" i="1"/>
  <c r="K492" i="1"/>
  <c r="J529" i="1"/>
  <c r="K558" i="1"/>
  <c r="O594" i="1"/>
  <c r="O141" i="1" l="1"/>
  <c r="L250" i="1"/>
  <c r="O43" i="1"/>
  <c r="O575" i="1"/>
  <c r="N448" i="1"/>
  <c r="N446" i="1" s="1"/>
  <c r="O446" i="1" s="1"/>
  <c r="N271" i="1"/>
  <c r="O311" i="1"/>
  <c r="P356" i="1"/>
  <c r="O26" i="1"/>
  <c r="P26" i="1"/>
  <c r="O120" i="1"/>
  <c r="N118" i="1"/>
  <c r="P118" i="1" s="1"/>
  <c r="O222" i="1"/>
  <c r="O365" i="1"/>
  <c r="N20" i="1"/>
  <c r="M16" i="1"/>
  <c r="P16" i="1" s="1"/>
  <c r="N310" i="1"/>
  <c r="P292" i="1"/>
  <c r="O417" i="1"/>
  <c r="P55" i="1"/>
  <c r="O360" i="1"/>
  <c r="N94" i="1"/>
  <c r="P312" i="1"/>
  <c r="O55" i="1"/>
  <c r="L14" i="1"/>
  <c r="P350" i="1"/>
  <c r="P67" i="1"/>
  <c r="O350" i="1"/>
  <c r="N66" i="1"/>
  <c r="N593" i="1"/>
  <c r="O593" i="1" s="1"/>
  <c r="O96" i="1"/>
  <c r="L94" i="1"/>
  <c r="L16" i="1"/>
  <c r="O16" i="1" s="1"/>
  <c r="P43" i="1"/>
  <c r="N546" i="1"/>
  <c r="N544" i="1" s="1"/>
  <c r="J219" i="1"/>
  <c r="K219" i="1" s="1"/>
  <c r="O31" i="1"/>
  <c r="O142" i="1"/>
  <c r="N41" i="1"/>
  <c r="N11" i="1"/>
  <c r="N9" i="1" s="1"/>
  <c r="O349" i="1"/>
  <c r="L13" i="1"/>
  <c r="O13" i="1" s="1"/>
  <c r="P95" i="1"/>
  <c r="O579" i="1"/>
  <c r="P349" i="1"/>
  <c r="O577" i="1"/>
  <c r="O68" i="1"/>
  <c r="N53" i="1"/>
  <c r="O363" i="1"/>
  <c r="O119" i="1"/>
  <c r="P68" i="1"/>
  <c r="O292" i="1"/>
  <c r="O95" i="1"/>
  <c r="L290" i="1"/>
  <c r="N220" i="1"/>
  <c r="M221" i="1"/>
  <c r="P221" i="1" s="1"/>
  <c r="N140" i="1"/>
  <c r="O140" i="1" s="1"/>
  <c r="M310" i="1"/>
  <c r="M66" i="1"/>
  <c r="N19" i="1"/>
  <c r="O470" i="1"/>
  <c r="N468" i="1"/>
  <c r="N466" i="1" s="1"/>
  <c r="O466" i="1" s="1"/>
  <c r="O415" i="1"/>
  <c r="P142" i="1"/>
  <c r="O25" i="1"/>
  <c r="O412" i="1"/>
  <c r="O566" i="1"/>
  <c r="P331" i="1"/>
  <c r="L66" i="1"/>
  <c r="O273" i="1"/>
  <c r="O15" i="1"/>
  <c r="O394" i="1"/>
  <c r="N391" i="1"/>
  <c r="P141" i="1"/>
  <c r="M140" i="1"/>
  <c r="M28" i="1"/>
  <c r="P28" i="1" s="1"/>
  <c r="P29" i="1"/>
  <c r="N610" i="1"/>
  <c r="N608" i="1" s="1"/>
  <c r="M20" i="1"/>
  <c r="P22" i="1"/>
  <c r="M12" i="1"/>
  <c r="O22" i="1"/>
  <c r="L20" i="1"/>
  <c r="L118" i="1"/>
  <c r="P119" i="1"/>
  <c r="N290" i="1"/>
  <c r="P291" i="1"/>
  <c r="L32" i="1"/>
  <c r="N250" i="1"/>
  <c r="L53" i="1"/>
  <c r="O54" i="1"/>
  <c r="L19" i="1"/>
  <c r="L11" i="1"/>
  <c r="O21" i="1"/>
  <c r="O252" i="1"/>
  <c r="P222" i="1"/>
  <c r="L329" i="1"/>
  <c r="O330" i="1"/>
  <c r="L271" i="1"/>
  <c r="O272" i="1"/>
  <c r="P251" i="1"/>
  <c r="M250" i="1"/>
  <c r="N34" i="1"/>
  <c r="O396" i="1"/>
  <c r="L41" i="1"/>
  <c r="O42" i="1"/>
  <c r="P273" i="1"/>
  <c r="M271" i="1"/>
  <c r="O221" i="1"/>
  <c r="L220" i="1"/>
  <c r="O291" i="1"/>
  <c r="O312" i="1"/>
  <c r="L310" i="1"/>
  <c r="M53" i="1"/>
  <c r="P48" i="1"/>
  <c r="M42" i="1"/>
  <c r="M25" i="1"/>
  <c r="L544" i="1"/>
  <c r="O29" i="1"/>
  <c r="M330" i="1"/>
  <c r="O331" i="1"/>
  <c r="N329" i="1"/>
  <c r="P96" i="1"/>
  <c r="M94" i="1"/>
  <c r="P21" i="1"/>
  <c r="M11" i="1"/>
  <c r="K460" i="1"/>
  <c r="I446" i="1"/>
  <c r="K446" i="1" s="1"/>
  <c r="L608" i="1"/>
  <c r="O564" i="1"/>
  <c r="L562" i="1"/>
  <c r="O562" i="1" s="1"/>
  <c r="O271" i="1" l="1"/>
  <c r="O448" i="1"/>
  <c r="P271" i="1"/>
  <c r="O220" i="1"/>
  <c r="O118" i="1"/>
  <c r="P20" i="1"/>
  <c r="O20" i="1"/>
  <c r="N18" i="1"/>
  <c r="O310" i="1"/>
  <c r="P310" i="1"/>
  <c r="O546" i="1"/>
  <c r="P94" i="1"/>
  <c r="O94" i="1"/>
  <c r="P53" i="1"/>
  <c r="O53" i="1"/>
  <c r="P66" i="1"/>
  <c r="N591" i="1"/>
  <c r="O591" i="1" s="1"/>
  <c r="O66" i="1"/>
  <c r="P140" i="1"/>
  <c r="O544" i="1"/>
  <c r="O290" i="1"/>
  <c r="M220" i="1"/>
  <c r="P220" i="1" s="1"/>
  <c r="O468" i="1"/>
  <c r="N37" i="1"/>
  <c r="P11" i="1"/>
  <c r="P330" i="1"/>
  <c r="M329" i="1"/>
  <c r="P329" i="1" s="1"/>
  <c r="L30" i="1"/>
  <c r="N14" i="1"/>
  <c r="O14" i="1" s="1"/>
  <c r="O34" i="1"/>
  <c r="O11" i="1"/>
  <c r="L9" i="1"/>
  <c r="L358" i="1"/>
  <c r="O250" i="1"/>
  <c r="L18" i="1"/>
  <c r="O19" i="1"/>
  <c r="O391" i="1"/>
  <c r="M10" i="1"/>
  <c r="P25" i="1"/>
  <c r="M15" i="1"/>
  <c r="P15" i="1" s="1"/>
  <c r="L12" i="1"/>
  <c r="O608" i="1"/>
  <c r="M19" i="1"/>
  <c r="P42" i="1"/>
  <c r="M41" i="1"/>
  <c r="O329" i="1"/>
  <c r="O610" i="1"/>
  <c r="L37" i="1"/>
  <c r="O41" i="1"/>
  <c r="P250" i="1"/>
  <c r="P290" i="1"/>
  <c r="N32" i="1"/>
  <c r="O32" i="1" s="1"/>
  <c r="O18" i="1" l="1"/>
  <c r="O37" i="1"/>
  <c r="N358" i="1"/>
  <c r="O358" i="1" s="1"/>
  <c r="P19" i="1"/>
  <c r="M18" i="1"/>
  <c r="P18" i="1" s="1"/>
  <c r="O9" i="1"/>
  <c r="L28" i="1"/>
  <c r="L10" i="1"/>
  <c r="L8" i="1" s="1"/>
  <c r="N30" i="1"/>
  <c r="N28" i="1" s="1"/>
  <c r="N12" i="1"/>
  <c r="O12" i="1" s="1"/>
  <c r="M9" i="1"/>
  <c r="M37" i="1"/>
  <c r="P37" i="1" s="1"/>
  <c r="P41" i="1"/>
  <c r="O30" i="1" l="1"/>
  <c r="P9" i="1"/>
  <c r="M8" i="1"/>
  <c r="N10" i="1"/>
  <c r="O10" i="1" s="1"/>
  <c r="P12" i="1"/>
  <c r="O28" i="1"/>
  <c r="N8" i="1" l="1"/>
  <c r="O8" i="1" s="1"/>
  <c r="P10" i="1"/>
  <c r="P8" i="1" l="1"/>
</calcChain>
</file>

<file path=xl/sharedStrings.xml><?xml version="1.0" encoding="utf-8"?>
<sst xmlns="http://schemas.openxmlformats.org/spreadsheetml/2006/main" count="1288" uniqueCount="249">
  <si>
    <t>รายละเอียดแผนงาน/โครงการ ผลผลิต/กิจกรรม ปีงบประมาณ พ.ศ. 2565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</si>
  <si>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</si>
  <si>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</si>
  <si>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</si>
  <si>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</si>
  <si>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</si>
  <si>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</si>
  <si>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</si>
  <si>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</si>
  <si>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</si>
  <si>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</si>
  <si>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</si>
  <si>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</si>
  <si>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</si>
  <si>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</si>
  <si>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</si>
  <si>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</si>
  <si>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</si>
  <si>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</si>
  <si>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</si>
  <si>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</si>
  <si>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 xml:space="preserve">        - งบบริหารสำนักงาน</t>
  </si>
  <si>
    <t xml:space="preserve">        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</si>
  <si>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</si>
  <si>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</si>
  <si>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</si>
  <si>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</si>
  <si>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</si>
  <si>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</si>
  <si>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</si>
  <si>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</si>
  <si>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</si>
  <si>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</si>
  <si>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</si>
  <si>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</si>
  <si>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</si>
  <si>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</si>
  <si>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</si>
  <si>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</si>
  <si>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</si>
  <si>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</si>
  <si>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</si>
  <si>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</si>
  <si>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</si>
  <si>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</si>
  <si>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</si>
  <si>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</si>
  <si>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</si>
  <si>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</si>
  <si>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</si>
  <si>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</si>
  <si>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</si>
  <si>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</si>
  <si>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</si>
  <si>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</si>
  <si>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</si>
  <si>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</si>
  <si>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</si>
  <si>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</si>
  <si>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</si>
  <si>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</si>
  <si>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</si>
  <si>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</si>
  <si>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</si>
  <si>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</si>
  <si>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</si>
  <si>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  <family val="2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  <family val="2"/>
      </rPr>
      <t>ท่านั้น</t>
    </r>
    <r>
      <rPr>
        <b/>
        <u/>
        <sz val="15"/>
        <color theme="1"/>
        <rFont val="Calibri"/>
        <family val="2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</si>
  <si>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</si>
  <si>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</si>
  <si>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</si>
  <si>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</si>
  <si>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</si>
  <si>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</si>
  <si>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</si>
  <si>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</si>
  <si>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</si>
  <si>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งบเนื้องาน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</si>
  <si>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</si>
  <si>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</si>
  <si>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</si>
  <si>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</si>
  <si>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</si>
  <si>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</si>
  <si>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</si>
  <si>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</si>
  <si>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</si>
  <si>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</si>
  <si>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</si>
  <si>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</si>
  <si>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</si>
  <si>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</si>
  <si>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</si>
  <si>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</si>
  <si>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</si>
  <si>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</si>
  <si>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</si>
  <si>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</si>
  <si>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</si>
  <si>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</si>
  <si>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</si>
  <si>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</si>
  <si>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</si>
  <si>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</si>
  <si>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</si>
  <si>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</si>
  <si>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</si>
  <si>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</si>
  <si>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</si>
  <si>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</si>
  <si>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</si>
  <si>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</si>
  <si>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</si>
  <si>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</si>
  <si>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</si>
  <si>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</si>
  <si>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</si>
  <si>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</si>
  <si>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</si>
  <si>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 ข้อมูล ณ 1 เม.ย. 65 เวลา 10.00 น.)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</si>
  <si>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</si>
  <si>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</si>
  <si>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</si>
  <si>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</si>
  <si>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</si>
  <si>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</si>
  <si>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กิจกรรมศูนย์บริการประชาชน (มีเฉพาะงบลงทุน)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</si>
  <si>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</si>
  <si>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</si>
  <si>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</si>
  <si>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         1) ฝึกอบรม </t>
  </si>
  <si>
    <t xml:space="preserve">             2) วัสดุการเกษตร  </t>
  </si>
  <si>
    <t xml:space="preserve">             3) จ้างเหมาบริการ</t>
  </si>
  <si>
    <t xml:space="preserve">             4) ดำเนินงาน (ค่าใช้สอย เบี้ยเลี้ยง ที่พัก พาหนะ วัสดุสำนักงาน วัสดุเชื้อเพลิง วัสดุคอมพิวเตอร์) 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</si>
  <si>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</si>
  <si>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</si>
  <si>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>2. จัดฝึกอบรมโดยใช้กระบวนการโรงเรียนเกษตรกร</t>
  </si>
  <si>
    <t xml:space="preserve">    โดย : ส.ป.ก.จังหวัด</t>
  </si>
  <si>
    <t xml:space="preserve">              - ครั้งที่ 1 (อบรมรายละ 2 หลักสูตร)</t>
  </si>
  <si>
    <t xml:space="preserve">             - ครั้งที่ 2 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</si>
  <si>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</si>
  <si>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</si>
  <si>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</si>
  <si>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</si>
  <si>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</si>
  <si>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</si>
  <si>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</si>
  <si>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</si>
  <si>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</si>
  <si>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</si>
  <si>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</si>
  <si>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</si>
  <si>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</si>
  <si>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</si>
  <si>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</si>
  <si>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</si>
  <si>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</si>
  <si>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</si>
  <si>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</si>
  <si>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</si>
  <si>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r>
      <rPr>
        <sz val="15"/>
        <color theme="1"/>
        <rFont val="Calibri"/>
        <family val="2"/>
      </rPr>
      <t xml:space="preserve"> - ส.ป.ก.จังหวัด </t>
    </r>
    <r>
      <rPr>
        <sz val="12"/>
        <color theme="1"/>
        <rFont val="Calibri"/>
        <family val="2"/>
      </rPr>
      <t>(เนื้องาน8,105,600+งบลงทุนพัทลุง103,000นราธิวาส904,000)</t>
    </r>
  </si>
  <si>
    <t>2.1 จัดทำโครงการ (ดำเนินการแล้วให้ระบุ 1)</t>
  </si>
  <si>
    <t xml:space="preserve"> - การแปรรูป การพัฒนาสินค้า การตลาดและการบริหารจัดการธุรกิจ (ส.ป.ก.จังหวัด)</t>
  </si>
  <si>
    <t xml:space="preserve"> - การสร้างความเข้มแข็งและพัฒธุรกิจของสหกรณ์การเกษตร (ส.ป.ก.จังหวัด)</t>
  </si>
  <si>
    <t xml:space="preserve"> -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</si>
  <si>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</si>
  <si>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</si>
  <si>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</si>
  <si>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</si>
  <si>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</si>
  <si>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</si>
  <si>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</si>
  <si>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</si>
  <si>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</si>
  <si>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</si>
  <si>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</si>
  <si>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</si>
  <si>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</si>
  <si>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</si>
  <si>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</si>
  <si>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</si>
  <si>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</si>
  <si>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</si>
  <si>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</si>
  <si>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</si>
  <si>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</si>
  <si>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</si>
  <si>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</si>
  <si>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</si>
  <si>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</si>
  <si>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</si>
  <si>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</si>
  <si>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</si>
  <si>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</si>
  <si>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</si>
  <si>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</si>
  <si>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</si>
  <si>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</si>
  <si>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</si>
  <si>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</si>
  <si>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</si>
  <si>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</si>
  <si>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</si>
  <si>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(ส.ป.ก.จังหวัด)</t>
  </si>
  <si>
    <t xml:space="preserve"> - อบรม หลักสูตรสำหรับการพัฒนาภาวะผู้นำแก่ผู้นำเกษตรกร (โดย สพท.)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</si>
  <si>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</si>
  <si>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</si>
  <si>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</si>
  <si>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</si>
  <si>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</si>
  <si>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</si>
  <si>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</si>
  <si>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</si>
  <si>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</si>
  <si>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</si>
  <si>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</si>
  <si>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</t>
  </si>
  <si>
    <t>- สำรวจรังวัด</t>
  </si>
  <si>
    <t>* ข้อมูลจาก ALRO Land Online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</si>
  <si>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</si>
  <si>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</si>
  <si>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</si>
  <si>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</si>
  <si>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</si>
  <si>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</si>
  <si>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</si>
  <si>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</si>
  <si>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</si>
  <si>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</si>
  <si>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</si>
  <si>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</si>
  <si>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</si>
  <si>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</si>
  <si>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</si>
  <si>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</si>
  <si>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</si>
  <si>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</si>
  <si>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</si>
  <si>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t>* เป็นโครงการที่มีงบลงทุนอยู่ในกิจกรรมตาม พ.ร.บ.</t>
  </si>
  <si>
    <t>- กิจกรรมที่ได้รับการจัดสรรตาม พ.ร.บ. งบประมาณ 2565 หมายถึง งบประมาณที่กิจกรรมได้รับจัดสรรทั้งปี (ส.ป.ก.ส่วนกลาง+ส.ป.ก.จังหวัด)</t>
  </si>
  <si>
    <t>- กิจกรรมที่ใช้เงินกองทุนการปฏิรูปที่ดินเพื่อเกษตรกรรม หมายถึง งบดำเนินงานที่กองทุนฯจัดสรร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</si>
  <si>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</si>
  <si>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</si>
  <si>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</si>
  <si>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</si>
  <si>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1. ผลเบิกจ่ายงบประมาณตาม พรบ. ข้อมูลจาก สบก. ณ วันที่ 31 มี.ค. 65</t>
  </si>
  <si>
    <t>2. ผลงานจัดที่ดิน ข้อมูลจาก ALRO Land Online ณ วันที่ 1 เม.ย. 65 เวลา 10.00 น.</t>
  </si>
  <si>
    <t>3. ผลงาน RTK ข้อมูลจาก สผส. ณ วันที่ 31 มี.ค. 65</t>
  </si>
  <si>
    <t>4. ผลการดำเนินงานกองทุนฯ ข้อมูลจาก สบท. ณ วันที่ 28 ก.พ. 65</t>
  </si>
  <si>
    <t>ข้อมูล ณ วันที่ 31 มีนาคม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</si>
</sst>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"/>
    <numFmt numFmtId="166" formatCode="_-* #,##0.00_-;\-* #,##0.00_-;_-* &quot;-&quot;??_-;_-@"/>
    <numFmt numFmtId="167" formatCode="_-* #,##0_-;\-* #,##0_-;_-* &quot;-&quot;_-;_-@"/>
    <numFmt numFmtId="168" formatCode="_(* #,##0_);_(* \(#,##0\);_(* &quot;-&quot;??_);_(@_)"/>
    <numFmt numFmtId="169" formatCode="_-* #,##0.00_-;\-* #,##0.00_-;_-* &quot;-&quot;????_-;_-@"/>
  </numFmts>
  <fonts count="23" x14ac:knownFonts="1">
    <font>
      <sz val="11"/>
      <color theme="1"/>
      <name val="Calibri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u/>
      <sz val="15"/>
      <color theme="1"/>
      <name val="Calibri"/>
      <family val="2"/>
    </font>
    <font>
      <sz val="15"/>
      <color theme="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7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vertical="center" wrapText="1"/>
    </xf>
    <xf numFmtId="165" fontId="2" fillId="2" borderId="0" xfId="0" applyNumberFormat="1" applyFont="1" applyFill="1" applyAlignment="1">
      <alignment vertical="center" wrapText="1"/>
    </xf>
    <xf numFmtId="166" fontId="1" fillId="4" borderId="12" xfId="0" applyNumberFormat="1" applyFont="1" applyFill="1" applyBorder="1" applyAlignment="1">
      <alignment horizontal="center" vertical="center"/>
    </xf>
    <xf numFmtId="165" fontId="1" fillId="4" borderId="12" xfId="0" applyNumberFormat="1" applyFont="1" applyFill="1" applyBorder="1" applyAlignment="1">
      <alignment horizontal="center" vertical="center" wrapText="1"/>
    </xf>
    <xf numFmtId="166" fontId="1" fillId="5" borderId="12" xfId="0" applyNumberFormat="1" applyFont="1" applyFill="1" applyBorder="1" applyAlignment="1">
      <alignment horizontal="center" vertical="center" wrapText="1"/>
    </xf>
    <xf numFmtId="166" fontId="1" fillId="7" borderId="12" xfId="0" applyNumberFormat="1" applyFont="1" applyFill="1" applyBorder="1" applyAlignment="1">
      <alignment horizontal="center" vertical="center" wrapText="1"/>
    </xf>
    <xf numFmtId="166" fontId="1" fillId="6" borderId="12" xfId="0" applyNumberFormat="1" applyFont="1" applyFill="1" applyBorder="1" applyAlignment="1">
      <alignment horizontal="center" vertical="center"/>
    </xf>
    <xf numFmtId="166" fontId="1" fillId="5" borderId="12" xfId="0" applyNumberFormat="1" applyFont="1" applyFill="1" applyBorder="1" applyAlignment="1">
      <alignment horizontal="center" vertical="center"/>
    </xf>
    <xf numFmtId="166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67" fontId="1" fillId="8" borderId="12" xfId="0" applyNumberFormat="1" applyFont="1" applyFill="1" applyBorder="1" applyAlignment="1"/>
    <xf numFmtId="166" fontId="1" fillId="8" borderId="12" xfId="0" applyNumberFormat="1" applyFont="1" applyFill="1" applyBorder="1" applyAlignment="1"/>
    <xf numFmtId="166" fontId="1" fillId="8" borderId="12" xfId="0" applyNumberFormat="1" applyFont="1" applyFill="1" applyBorder="1" applyAlignment="1">
      <alignment horizontal="center"/>
    </xf>
    <xf numFmtId="166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67" fontId="1" fillId="9" borderId="16" xfId="0" applyNumberFormat="1" applyFont="1" applyFill="1" applyBorder="1" applyAlignment="1">
      <alignment horizontal="right"/>
    </xf>
    <xf numFmtId="166" fontId="1" fillId="9" borderId="16" xfId="0" applyNumberFormat="1" applyFont="1" applyFill="1" applyBorder="1" applyAlignment="1">
      <alignment horizontal="right"/>
    </xf>
    <xf numFmtId="166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67" fontId="1" fillId="9" borderId="20" xfId="0" applyNumberFormat="1" applyFont="1" applyFill="1" applyBorder="1" applyAlignment="1">
      <alignment horizontal="right"/>
    </xf>
    <xf numFmtId="166" fontId="1" fillId="9" borderId="20" xfId="0" applyNumberFormat="1" applyFont="1" applyFill="1" applyBorder="1" applyAlignment="1">
      <alignment horizontal="right"/>
    </xf>
    <xf numFmtId="166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67" fontId="2" fillId="2" borderId="20" xfId="0" applyNumberFormat="1" applyFont="1" applyFill="1" applyBorder="1" applyAlignment="1">
      <alignment horizontal="right"/>
    </xf>
    <xf numFmtId="166" fontId="2" fillId="2" borderId="20" xfId="0" applyNumberFormat="1" applyFont="1" applyFill="1" applyBorder="1" applyAlignment="1">
      <alignment horizontal="right"/>
    </xf>
    <xf numFmtId="166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66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67" fontId="2" fillId="2" borderId="23" xfId="0" applyNumberFormat="1" applyFont="1" applyFill="1" applyBorder="1" applyAlignment="1">
      <alignment horizontal="right"/>
    </xf>
    <xf numFmtId="166" fontId="2" fillId="2" borderId="23" xfId="0" applyNumberFormat="1" applyFont="1" applyFill="1" applyBorder="1" applyAlignment="1">
      <alignment horizontal="right"/>
    </xf>
    <xf numFmtId="166" fontId="2" fillId="2" borderId="23" xfId="0" applyNumberFormat="1" applyFont="1" applyFill="1" applyBorder="1" applyAlignment="1"/>
    <xf numFmtId="166" fontId="2" fillId="2" borderId="20" xfId="0" applyNumberFormat="1" applyFont="1" applyFill="1" applyBorder="1" applyAlignment="1"/>
    <xf numFmtId="166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67" fontId="1" fillId="10" borderId="12" xfId="0" applyNumberFormat="1" applyFont="1" applyFill="1" applyBorder="1" applyAlignment="1">
      <alignment vertical="center"/>
    </xf>
    <xf numFmtId="166" fontId="1" fillId="10" borderId="12" xfId="0" applyNumberFormat="1" applyFont="1" applyFill="1" applyBorder="1" applyAlignment="1">
      <alignment vertical="center"/>
    </xf>
    <xf numFmtId="166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67" fontId="2" fillId="11" borderId="12" xfId="0" applyNumberFormat="1" applyFont="1" applyFill="1" applyBorder="1" applyAlignment="1">
      <alignment horizontal="left"/>
    </xf>
    <xf numFmtId="166" fontId="2" fillId="11" borderId="12" xfId="0" applyNumberFormat="1" applyFont="1" applyFill="1" applyBorder="1" applyAlignment="1">
      <alignment horizontal="left"/>
    </xf>
    <xf numFmtId="166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67" fontId="1" fillId="12" borderId="16" xfId="0" applyNumberFormat="1" applyFont="1" applyFill="1" applyBorder="1" applyAlignment="1">
      <alignment horizontal="right"/>
    </xf>
    <xf numFmtId="166" fontId="1" fillId="12" borderId="16" xfId="0" applyNumberFormat="1" applyFont="1" applyFill="1" applyBorder="1" applyAlignment="1">
      <alignment horizontal="right"/>
    </xf>
    <xf numFmtId="166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67" fontId="1" fillId="13" borderId="20" xfId="0" applyNumberFormat="1" applyFont="1" applyFill="1" applyBorder="1" applyAlignment="1">
      <alignment horizontal="right"/>
    </xf>
    <xf numFmtId="166" fontId="1" fillId="13" borderId="20" xfId="0" applyNumberFormat="1" applyFont="1" applyFill="1" applyBorder="1" applyAlignment="1">
      <alignment horizontal="right"/>
    </xf>
    <xf numFmtId="166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67" fontId="1" fillId="14" borderId="20" xfId="0" applyNumberFormat="1" applyFont="1" applyFill="1" applyBorder="1" applyAlignment="1">
      <alignment horizontal="right"/>
    </xf>
    <xf numFmtId="166" fontId="1" fillId="14" borderId="20" xfId="0" applyNumberFormat="1" applyFont="1" applyFill="1" applyBorder="1" applyAlignment="1">
      <alignment horizontal="right"/>
    </xf>
    <xf numFmtId="166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67" fontId="2" fillId="0" borderId="20" xfId="0" applyNumberFormat="1" applyFont="1" applyBorder="1" applyAlignment="1">
      <alignment horizontal="right"/>
    </xf>
    <xf numFmtId="166" fontId="2" fillId="0" borderId="20" xfId="0" applyNumberFormat="1" applyFont="1" applyBorder="1" applyAlignment="1">
      <alignment horizontal="righ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67" fontId="2" fillId="0" borderId="23" xfId="0" applyNumberFormat="1" applyFont="1" applyBorder="1" applyAlignment="1">
      <alignment horizontal="right"/>
    </xf>
    <xf numFmtId="166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67" fontId="1" fillId="16" borderId="12" xfId="0" applyNumberFormat="1" applyFont="1" applyFill="1" applyBorder="1" applyAlignment="1">
      <alignment horizontal="right"/>
    </xf>
    <xf numFmtId="166" fontId="1" fillId="16" borderId="12" xfId="0" applyNumberFormat="1" applyFont="1" applyFill="1" applyBorder="1" applyAlignment="1">
      <alignment horizontal="right"/>
    </xf>
    <xf numFmtId="166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67" fontId="1" fillId="17" borderId="16" xfId="0" applyNumberFormat="1" applyFont="1" applyFill="1" applyBorder="1" applyAlignment="1">
      <alignment horizontal="right"/>
    </xf>
    <xf numFmtId="166" fontId="1" fillId="17" borderId="16" xfId="0" applyNumberFormat="1" applyFont="1" applyFill="1" applyBorder="1" applyAlignment="1">
      <alignment horizontal="right"/>
    </xf>
    <xf numFmtId="166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67" fontId="1" fillId="18" borderId="20" xfId="0" applyNumberFormat="1" applyFont="1" applyFill="1" applyBorder="1" applyAlignment="1">
      <alignment horizontal="right"/>
    </xf>
    <xf numFmtId="166" fontId="1" fillId="18" borderId="20" xfId="0" applyNumberFormat="1" applyFont="1" applyFill="1" applyBorder="1" applyAlignment="1">
      <alignment horizontal="right"/>
    </xf>
    <xf numFmtId="166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67" fontId="1" fillId="19" borderId="20" xfId="0" applyNumberFormat="1" applyFont="1" applyFill="1" applyBorder="1" applyAlignment="1">
      <alignment horizontal="right"/>
    </xf>
    <xf numFmtId="166" fontId="1" fillId="19" borderId="20" xfId="0" applyNumberFormat="1" applyFont="1" applyFill="1" applyBorder="1" applyAlignment="1">
      <alignment horizontal="right"/>
    </xf>
    <xf numFmtId="166" fontId="1" fillId="19" borderId="20" xfId="0" applyNumberFormat="1" applyFont="1" applyFill="1" applyBorder="1" applyAlignment="1"/>
    <xf numFmtId="166" fontId="2" fillId="15" borderId="20" xfId="0" applyNumberFormat="1" applyFont="1" applyFill="1" applyBorder="1" applyAlignment="1">
      <alignment horizontal="left"/>
    </xf>
    <xf numFmtId="166" fontId="2" fillId="15" borderId="20" xfId="0" applyNumberFormat="1" applyFont="1" applyFill="1" applyBorder="1" applyAlignment="1"/>
    <xf numFmtId="166" fontId="2" fillId="15" borderId="23" xfId="0" applyNumberFormat="1" applyFont="1" applyFill="1" applyBorder="1" applyAlignment="1"/>
    <xf numFmtId="165" fontId="1" fillId="20" borderId="24" xfId="0" applyNumberFormat="1" applyFont="1" applyFill="1" applyBorder="1" applyAlignment="1">
      <alignment vertical="center"/>
    </xf>
    <xf numFmtId="165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67" fontId="2" fillId="20" borderId="27" xfId="0" applyNumberFormat="1" applyFont="1" applyFill="1" applyBorder="1" applyAlignment="1">
      <alignment horizontal="left" vertical="center"/>
    </xf>
    <xf numFmtId="166" fontId="2" fillId="20" borderId="27" xfId="0" applyNumberFormat="1" applyFont="1" applyFill="1" applyBorder="1" applyAlignment="1">
      <alignment horizontal="left" vertical="center"/>
    </xf>
    <xf numFmtId="166" fontId="2" fillId="20" borderId="27" xfId="0" applyNumberFormat="1" applyFont="1" applyFill="1" applyBorder="1" applyAlignment="1">
      <alignment vertical="center"/>
    </xf>
    <xf numFmtId="165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65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67" fontId="1" fillId="21" borderId="28" xfId="0" applyNumberFormat="1" applyFont="1" applyFill="1" applyBorder="1" applyAlignment="1">
      <alignment horizontal="left" vertical="center"/>
    </xf>
    <xf numFmtId="166" fontId="1" fillId="21" borderId="28" xfId="0" applyNumberFormat="1" applyFont="1" applyFill="1" applyBorder="1" applyAlignment="1">
      <alignment horizontal="left" vertical="center"/>
    </xf>
    <xf numFmtId="166" fontId="1" fillId="21" borderId="28" xfId="0" applyNumberFormat="1" applyFont="1" applyFill="1" applyBorder="1" applyAlignment="1">
      <alignment horizontal="center" vertical="center"/>
    </xf>
    <xf numFmtId="166" fontId="2" fillId="21" borderId="28" xfId="0" applyNumberFormat="1" applyFont="1" applyFill="1" applyBorder="1" applyAlignment="1">
      <alignment vertical="center"/>
    </xf>
    <xf numFmtId="168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65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67" fontId="1" fillId="9" borderId="19" xfId="0" applyNumberFormat="1" applyFont="1" applyFill="1" applyBorder="1" applyAlignment="1">
      <alignment horizontal="right" vertical="center" wrapText="1"/>
    </xf>
    <xf numFmtId="166" fontId="1" fillId="9" borderId="19" xfId="0" applyNumberFormat="1" applyFont="1" applyFill="1" applyBorder="1" applyAlignment="1">
      <alignment horizontal="right" vertical="center" wrapText="1"/>
    </xf>
    <xf numFmtId="166" fontId="1" fillId="9" borderId="19" xfId="0" applyNumberFormat="1" applyFont="1" applyFill="1" applyBorder="1" applyAlignment="1">
      <alignment vertical="center"/>
    </xf>
    <xf numFmtId="166" fontId="1" fillId="9" borderId="19" xfId="0" applyNumberFormat="1" applyFont="1" applyFill="1" applyBorder="1" applyAlignment="1">
      <alignment vertical="center"/>
    </xf>
    <xf numFmtId="168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65" fontId="1" fillId="2" borderId="15" xfId="0" applyNumberFormat="1" applyFont="1" applyFill="1" applyBorder="1" applyAlignment="1">
      <alignment horizontal="center"/>
    </xf>
    <xf numFmtId="167" fontId="1" fillId="2" borderId="16" xfId="0" applyNumberFormat="1" applyFont="1" applyFill="1" applyBorder="1" applyAlignment="1">
      <alignment horizontal="right"/>
    </xf>
    <xf numFmtId="166" fontId="1" fillId="2" borderId="16" xfId="0" applyNumberFormat="1" applyFont="1" applyFill="1" applyBorder="1" applyAlignment="1">
      <alignment horizontal="right"/>
    </xf>
    <xf numFmtId="166" fontId="1" fillId="2" borderId="16" xfId="0" applyNumberFormat="1" applyFont="1" applyFill="1" applyBorder="1" applyAlignment="1"/>
    <xf numFmtId="168" fontId="1" fillId="2" borderId="17" xfId="0" applyNumberFormat="1" applyFont="1" applyFill="1" applyBorder="1" applyAlignment="1"/>
    <xf numFmtId="165" fontId="1" fillId="2" borderId="19" xfId="0" applyNumberFormat="1" applyFont="1" applyFill="1" applyBorder="1" applyAlignment="1">
      <alignment horizontal="center"/>
    </xf>
    <xf numFmtId="167" fontId="1" fillId="2" borderId="20" xfId="0" applyNumberFormat="1" applyFont="1" applyFill="1" applyBorder="1" applyAlignment="1">
      <alignment horizontal="right"/>
    </xf>
    <xf numFmtId="166" fontId="1" fillId="2" borderId="20" xfId="0" applyNumberFormat="1" applyFont="1" applyFill="1" applyBorder="1" applyAlignment="1">
      <alignment horizontal="right"/>
    </xf>
    <xf numFmtId="166" fontId="1" fillId="2" borderId="20" xfId="0" applyNumberFormat="1" applyFont="1" applyFill="1" applyBorder="1" applyAlignment="1"/>
    <xf numFmtId="168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65" fontId="1" fillId="0" borderId="19" xfId="0" applyNumberFormat="1" applyFont="1" applyBorder="1" applyAlignment="1">
      <alignment horizontal="center" vertical="center" wrapText="1"/>
    </xf>
    <xf numFmtId="167" fontId="2" fillId="0" borderId="19" xfId="0" applyNumberFormat="1" applyFont="1" applyBorder="1" applyAlignment="1">
      <alignment horizontal="right" vertical="center" wrapText="1"/>
    </xf>
    <xf numFmtId="166" fontId="2" fillId="0" borderId="19" xfId="0" applyNumberFormat="1" applyFont="1" applyBorder="1" applyAlignment="1">
      <alignment horizontal="right" vertical="center" wrapText="1"/>
    </xf>
    <xf numFmtId="166" fontId="2" fillId="2" borderId="19" xfId="0" applyNumberFormat="1" applyFont="1" applyFill="1" applyBorder="1" applyAlignment="1">
      <alignment vertical="center"/>
    </xf>
    <xf numFmtId="166" fontId="2" fillId="2" borderId="19" xfId="0" applyNumberFormat="1" applyFont="1" applyFill="1" applyBorder="1" applyAlignment="1">
      <alignment vertical="center"/>
    </xf>
    <xf numFmtId="165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65" fontId="2" fillId="0" borderId="19" xfId="0" applyNumberFormat="1" applyFont="1" applyBorder="1" applyAlignment="1">
      <alignment horizontal="center" vertical="center" wrapText="1"/>
    </xf>
    <xf numFmtId="168" fontId="1" fillId="15" borderId="17" xfId="0" applyNumberFormat="1" applyFont="1" applyFill="1" applyBorder="1" applyAlignment="1"/>
    <xf numFmtId="165" fontId="2" fillId="0" borderId="20" xfId="0" applyNumberFormat="1" applyFont="1" applyBorder="1" applyAlignment="1">
      <alignment horizontal="center"/>
    </xf>
    <xf numFmtId="168" fontId="1" fillId="15" borderId="21" xfId="0" applyNumberFormat="1" applyFont="1" applyFill="1" applyBorder="1" applyAlignment="1"/>
    <xf numFmtId="165" fontId="1" fillId="15" borderId="22" xfId="0" applyNumberFormat="1" applyFont="1" applyFill="1" applyBorder="1" applyAlignment="1"/>
    <xf numFmtId="165" fontId="2" fillId="0" borderId="23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0" fontId="10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66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67" fontId="2" fillId="2" borderId="19" xfId="0" applyNumberFormat="1" applyFont="1" applyFill="1" applyBorder="1" applyAlignment="1">
      <alignment horizontal="right" vertical="center" wrapText="1"/>
    </xf>
    <xf numFmtId="167" fontId="2" fillId="2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65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67" fontId="1" fillId="2" borderId="19" xfId="0" applyNumberFormat="1" applyFont="1" applyFill="1" applyBorder="1" applyAlignment="1">
      <alignment horizontal="right" vertical="center" wrapText="1"/>
    </xf>
    <xf numFmtId="166" fontId="1" fillId="0" borderId="19" xfId="0" applyNumberFormat="1" applyFont="1" applyBorder="1" applyAlignment="1">
      <alignment horizontal="right" vertical="center" wrapText="1"/>
    </xf>
    <xf numFmtId="167" fontId="2" fillId="0" borderId="19" xfId="0" applyNumberFormat="1" applyFont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67" fontId="2" fillId="2" borderId="30" xfId="0" applyNumberFormat="1" applyFont="1" applyFill="1" applyBorder="1" applyAlignment="1">
      <alignment horizontal="right" vertical="center"/>
    </xf>
    <xf numFmtId="165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65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67" fontId="2" fillId="21" borderId="19" xfId="0" applyNumberFormat="1" applyFont="1" applyFill="1" applyBorder="1" applyAlignment="1">
      <alignment horizontal="right" vertical="center" wrapText="1"/>
    </xf>
    <xf numFmtId="166" fontId="2" fillId="21" borderId="19" xfId="0" applyNumberFormat="1" applyFont="1" applyFill="1" applyBorder="1" applyAlignment="1">
      <alignment horizontal="right" vertical="center" wrapText="1"/>
    </xf>
    <xf numFmtId="166" fontId="2" fillId="21" borderId="19" xfId="0" applyNumberFormat="1" applyFont="1" applyFill="1" applyBorder="1" applyAlignment="1">
      <alignment vertical="center" wrapText="1"/>
    </xf>
    <xf numFmtId="166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66" fontId="1" fillId="9" borderId="19" xfId="0" applyNumberFormat="1" applyFont="1" applyFill="1" applyBorder="1" applyAlignment="1">
      <alignment vertical="center" wrapText="1"/>
    </xf>
    <xf numFmtId="166" fontId="1" fillId="9" borderId="19" xfId="0" applyNumberFormat="1" applyFont="1" applyFill="1" applyBorder="1" applyAlignment="1">
      <alignment vertical="center" wrapText="1"/>
    </xf>
    <xf numFmtId="168" fontId="2" fillId="2" borderId="29" xfId="0" applyNumberFormat="1" applyFont="1" applyFill="1" applyBorder="1" applyAlignment="1">
      <alignment vertical="center"/>
    </xf>
    <xf numFmtId="166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0" fontId="1" fillId="21" borderId="30" xfId="0" applyFont="1" applyFill="1" applyBorder="1" applyAlignment="1">
      <alignment vertical="center"/>
    </xf>
    <xf numFmtId="168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68" fontId="1" fillId="9" borderId="30" xfId="0" applyNumberFormat="1" applyFont="1" applyFill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165" fontId="1" fillId="0" borderId="21" xfId="0" applyNumberFormat="1" applyFont="1" applyBorder="1" applyAlignment="1">
      <alignment vertical="center"/>
    </xf>
    <xf numFmtId="165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67" fontId="2" fillId="2" borderId="34" xfId="0" applyNumberFormat="1" applyFont="1" applyFill="1" applyBorder="1" applyAlignment="1">
      <alignment horizontal="right" vertical="center" wrapText="1"/>
    </xf>
    <xf numFmtId="167" fontId="2" fillId="2" borderId="32" xfId="0" applyNumberFormat="1" applyFont="1" applyFill="1" applyBorder="1" applyAlignment="1">
      <alignment horizontal="right" vertical="center"/>
    </xf>
    <xf numFmtId="166" fontId="2" fillId="2" borderId="34" xfId="0" applyNumberFormat="1" applyFont="1" applyFill="1" applyBorder="1" applyAlignment="1">
      <alignment horizontal="right" vertical="center" wrapText="1"/>
    </xf>
    <xf numFmtId="166" fontId="2" fillId="2" borderId="34" xfId="0" applyNumberFormat="1" applyFont="1" applyFill="1" applyBorder="1" applyAlignment="1">
      <alignment vertical="center"/>
    </xf>
    <xf numFmtId="166" fontId="2" fillId="0" borderId="34" xfId="0" applyNumberFormat="1" applyFont="1" applyBorder="1" applyAlignment="1">
      <alignment vertical="center"/>
    </xf>
    <xf numFmtId="165" fontId="1" fillId="7" borderId="35" xfId="0" applyNumberFormat="1" applyFont="1" applyFill="1" applyBorder="1" applyAlignment="1">
      <alignment vertical="center"/>
    </xf>
    <xf numFmtId="165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67" fontId="2" fillId="7" borderId="38" xfId="0" applyNumberFormat="1" applyFont="1" applyFill="1" applyBorder="1" applyAlignment="1">
      <alignment horizontal="left" vertical="center"/>
    </xf>
    <xf numFmtId="166" fontId="2" fillId="7" borderId="38" xfId="0" applyNumberFormat="1" applyFont="1" applyFill="1" applyBorder="1" applyAlignment="1">
      <alignment horizontal="left" vertical="center"/>
    </xf>
    <xf numFmtId="166" fontId="2" fillId="7" borderId="38" xfId="0" applyNumberFormat="1" applyFont="1" applyFill="1" applyBorder="1" applyAlignment="1">
      <alignment vertical="center"/>
    </xf>
    <xf numFmtId="165" fontId="1" fillId="24" borderId="29" xfId="0" applyNumberFormat="1" applyFont="1" applyFill="1" applyBorder="1" applyAlignment="1">
      <alignment vertical="center"/>
    </xf>
    <xf numFmtId="165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67" fontId="1" fillId="24" borderId="19" xfId="0" applyNumberFormat="1" applyFont="1" applyFill="1" applyBorder="1" applyAlignment="1">
      <alignment horizontal="center" vertical="center"/>
    </xf>
    <xf numFmtId="166" fontId="1" fillId="24" borderId="19" xfId="0" applyNumberFormat="1" applyFont="1" applyFill="1" applyBorder="1" applyAlignment="1">
      <alignment horizontal="center" vertical="center"/>
    </xf>
    <xf numFmtId="166" fontId="2" fillId="24" borderId="19" xfId="0" applyNumberFormat="1" applyFont="1" applyFill="1" applyBorder="1" applyAlignment="1">
      <alignment horizontal="right" vertical="center" wrapText="1"/>
    </xf>
    <xf numFmtId="165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65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67" fontId="1" fillId="22" borderId="19" xfId="0" applyNumberFormat="1" applyFont="1" applyFill="1" applyBorder="1" applyAlignment="1">
      <alignment horizontal="right" vertical="center" wrapText="1"/>
    </xf>
    <xf numFmtId="166" fontId="1" fillId="22" borderId="19" xfId="0" applyNumberFormat="1" applyFont="1" applyFill="1" applyBorder="1" applyAlignment="1">
      <alignment horizontal="right" vertical="center" wrapText="1"/>
    </xf>
    <xf numFmtId="166" fontId="1" fillId="22" borderId="19" xfId="0" applyNumberFormat="1" applyFont="1" applyFill="1" applyBorder="1" applyAlignment="1">
      <alignment vertical="center"/>
    </xf>
    <xf numFmtId="165" fontId="1" fillId="25" borderId="29" xfId="0" applyNumberFormat="1" applyFont="1" applyFill="1" applyBorder="1" applyAlignment="1">
      <alignment vertical="center"/>
    </xf>
    <xf numFmtId="165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67" fontId="2" fillId="25" borderId="19" xfId="0" applyNumberFormat="1" applyFont="1" applyFill="1" applyBorder="1" applyAlignment="1">
      <alignment horizontal="right" vertical="center" wrapText="1"/>
    </xf>
    <xf numFmtId="166" fontId="2" fillId="25" borderId="19" xfId="0" applyNumberFormat="1" applyFont="1" applyFill="1" applyBorder="1" applyAlignment="1">
      <alignment horizontal="right" vertical="center" wrapText="1"/>
    </xf>
    <xf numFmtId="166" fontId="1" fillId="25" borderId="19" xfId="0" applyNumberFormat="1" applyFont="1" applyFill="1" applyBorder="1" applyAlignment="1">
      <alignment vertical="center"/>
    </xf>
    <xf numFmtId="0" fontId="12" fillId="2" borderId="30" xfId="0" quotePrefix="1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67" fontId="2" fillId="2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67" fontId="1" fillId="25" borderId="19" xfId="0" applyNumberFormat="1" applyFont="1" applyFill="1" applyBorder="1" applyAlignment="1">
      <alignment horizontal="right" vertical="center" wrapText="1"/>
    </xf>
    <xf numFmtId="166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66" fontId="2" fillId="0" borderId="34" xfId="0" applyNumberFormat="1" applyFont="1" applyBorder="1" applyAlignment="1">
      <alignment horizontal="right" vertical="center" wrapText="1"/>
    </xf>
    <xf numFmtId="165" fontId="1" fillId="25" borderId="30" xfId="0" applyNumberFormat="1" applyFont="1" applyFill="1" applyBorder="1" applyAlignment="1">
      <alignment horizontal="left" vertical="center"/>
    </xf>
    <xf numFmtId="0" fontId="2" fillId="0" borderId="20" xfId="0" quotePrefix="1" applyFont="1" applyBorder="1" applyAlignment="1">
      <alignment vertical="center"/>
    </xf>
    <xf numFmtId="167" fontId="1" fillId="22" borderId="19" xfId="0" applyNumberFormat="1" applyFont="1" applyFill="1" applyBorder="1" applyAlignment="1">
      <alignment horizontal="right" vertical="center" wrapText="1"/>
    </xf>
    <xf numFmtId="166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165" fontId="1" fillId="22" borderId="30" xfId="0" applyNumberFormat="1" applyFont="1" applyFill="1" applyBorder="1" applyAlignment="1">
      <alignment horizontal="left" vertical="center"/>
    </xf>
    <xf numFmtId="165" fontId="1" fillId="26" borderId="35" xfId="0" applyNumberFormat="1" applyFont="1" applyFill="1" applyBorder="1" applyAlignment="1">
      <alignment vertical="center"/>
    </xf>
    <xf numFmtId="165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67" fontId="1" fillId="26" borderId="38" xfId="0" applyNumberFormat="1" applyFont="1" applyFill="1" applyBorder="1" applyAlignment="1">
      <alignment horizontal="left" vertical="center"/>
    </xf>
    <xf numFmtId="166" fontId="1" fillId="26" borderId="38" xfId="0" applyNumberFormat="1" applyFont="1" applyFill="1" applyBorder="1" applyAlignment="1">
      <alignment horizontal="left" vertical="center"/>
    </xf>
    <xf numFmtId="166" fontId="1" fillId="26" borderId="38" xfId="0" applyNumberFormat="1" applyFont="1" applyFill="1" applyBorder="1" applyAlignment="1">
      <alignment vertical="center"/>
    </xf>
    <xf numFmtId="166" fontId="2" fillId="26" borderId="38" xfId="0" applyNumberFormat="1" applyFont="1" applyFill="1" applyBorder="1" applyAlignment="1">
      <alignment vertical="center"/>
    </xf>
    <xf numFmtId="165" fontId="1" fillId="27" borderId="29" xfId="0" applyNumberFormat="1" applyFont="1" applyFill="1" applyBorder="1" applyAlignment="1">
      <alignment vertical="center"/>
    </xf>
    <xf numFmtId="165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67" fontId="1" fillId="27" borderId="19" xfId="0" applyNumberFormat="1" applyFont="1" applyFill="1" applyBorder="1" applyAlignment="1">
      <alignment vertical="center"/>
    </xf>
    <xf numFmtId="166" fontId="1" fillId="27" borderId="19" xfId="0" applyNumberFormat="1" applyFont="1" applyFill="1" applyBorder="1" applyAlignment="1">
      <alignment vertical="center"/>
    </xf>
    <xf numFmtId="166" fontId="2" fillId="27" borderId="19" xfId="0" applyNumberFormat="1" applyFont="1" applyFill="1" applyBorder="1" applyAlignment="1">
      <alignment horizontal="right" vertical="center" wrapText="1"/>
    </xf>
    <xf numFmtId="165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67" fontId="1" fillId="28" borderId="19" xfId="0" applyNumberFormat="1" applyFont="1" applyFill="1" applyBorder="1" applyAlignment="1">
      <alignment horizontal="right" vertical="center" wrapText="1"/>
    </xf>
    <xf numFmtId="166" fontId="1" fillId="28" borderId="19" xfId="0" applyNumberFormat="1" applyFont="1" applyFill="1" applyBorder="1" applyAlignment="1">
      <alignment horizontal="right" vertical="center" wrapText="1"/>
    </xf>
    <xf numFmtId="166" fontId="1" fillId="28" borderId="19" xfId="0" applyNumberFormat="1" applyFont="1" applyFill="1" applyBorder="1" applyAlignment="1">
      <alignment vertical="center"/>
    </xf>
    <xf numFmtId="165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67" fontId="1" fillId="27" borderId="19" xfId="0" applyNumberFormat="1" applyFont="1" applyFill="1" applyBorder="1" applyAlignment="1">
      <alignment horizontal="right" vertical="center"/>
    </xf>
    <xf numFmtId="166" fontId="1" fillId="27" borderId="19" xfId="0" applyNumberFormat="1" applyFont="1" applyFill="1" applyBorder="1" applyAlignment="1">
      <alignment horizontal="right" vertical="center"/>
    </xf>
    <xf numFmtId="168" fontId="1" fillId="28" borderId="29" xfId="0" applyNumberFormat="1" applyFont="1" applyFill="1" applyBorder="1" applyAlignment="1">
      <alignment vertical="center"/>
    </xf>
    <xf numFmtId="168" fontId="1" fillId="28" borderId="30" xfId="0" applyNumberFormat="1" applyFont="1" applyFill="1" applyBorder="1" applyAlignment="1">
      <alignment vertical="center"/>
    </xf>
    <xf numFmtId="165" fontId="1" fillId="28" borderId="30" xfId="0" applyNumberFormat="1" applyFont="1" applyFill="1" applyBorder="1" applyAlignment="1">
      <alignment vertical="center"/>
    </xf>
    <xf numFmtId="167" fontId="2" fillId="2" borderId="31" xfId="0" applyNumberFormat="1" applyFont="1" applyFill="1" applyBorder="1" applyAlignment="1">
      <alignment horizontal="right" vertical="center"/>
    </xf>
    <xf numFmtId="168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68" fontId="1" fillId="28" borderId="40" xfId="0" applyNumberFormat="1" applyFont="1" applyFill="1" applyBorder="1" applyAlignment="1">
      <alignment vertical="center"/>
    </xf>
    <xf numFmtId="165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67" fontId="1" fillId="28" borderId="42" xfId="0" applyNumberFormat="1" applyFont="1" applyFill="1" applyBorder="1" applyAlignment="1">
      <alignment horizontal="right" vertical="center" wrapText="1"/>
    </xf>
    <xf numFmtId="166" fontId="1" fillId="28" borderId="42" xfId="0" applyNumberFormat="1" applyFont="1" applyFill="1" applyBorder="1" applyAlignment="1">
      <alignment horizontal="right" vertical="center" wrapText="1"/>
    </xf>
    <xf numFmtId="166" fontId="1" fillId="28" borderId="42" xfId="0" applyNumberFormat="1" applyFont="1" applyFill="1" applyBorder="1" applyAlignment="1">
      <alignment vertical="center"/>
    </xf>
    <xf numFmtId="167" fontId="2" fillId="0" borderId="15" xfId="0" applyNumberFormat="1" applyFont="1" applyBorder="1" applyAlignment="1">
      <alignment horizontal="right" vertical="center" wrapText="1"/>
    </xf>
    <xf numFmtId="166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67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67" fontId="2" fillId="2" borderId="19" xfId="0" applyNumberFormat="1" applyFont="1" applyFill="1" applyBorder="1" applyAlignment="1">
      <alignment horizontal="center" vertical="center"/>
    </xf>
    <xf numFmtId="166" fontId="2" fillId="2" borderId="19" xfId="0" applyNumberFormat="1" applyFont="1" applyFill="1" applyBorder="1" applyAlignment="1">
      <alignment horizontal="center" vertical="center"/>
    </xf>
    <xf numFmtId="166" fontId="2" fillId="0" borderId="19" xfId="0" applyNumberFormat="1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/>
    </xf>
    <xf numFmtId="167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67" fontId="2" fillId="2" borderId="34" xfId="0" applyNumberFormat="1" applyFont="1" applyFill="1" applyBorder="1" applyAlignment="1">
      <alignment horizontal="center" vertical="center"/>
    </xf>
    <xf numFmtId="166" fontId="2" fillId="2" borderId="34" xfId="0" applyNumberFormat="1" applyFont="1" applyFill="1" applyBorder="1" applyAlignment="1">
      <alignment horizontal="center" vertical="center"/>
    </xf>
    <xf numFmtId="166" fontId="2" fillId="0" borderId="34" xfId="0" applyNumberFormat="1" applyFont="1" applyBorder="1" applyAlignment="1">
      <alignment horizontal="left" vertical="center" shrinkToFit="1"/>
    </xf>
    <xf numFmtId="167" fontId="1" fillId="28" borderId="19" xfId="0" applyNumberFormat="1" applyFont="1" applyFill="1" applyBorder="1" applyAlignment="1">
      <alignment horizontal="center" vertical="center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67" fontId="1" fillId="29" borderId="38" xfId="0" applyNumberFormat="1" applyFont="1" applyFill="1" applyBorder="1" applyAlignment="1">
      <alignment vertical="center"/>
    </xf>
    <xf numFmtId="166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67" fontId="1" fillId="30" borderId="19" xfId="0" applyNumberFormat="1" applyFont="1" applyFill="1" applyBorder="1" applyAlignment="1">
      <alignment horizontal="left" vertical="center"/>
    </xf>
    <xf numFmtId="166" fontId="1" fillId="30" borderId="19" xfId="0" applyNumberFormat="1" applyFont="1" applyFill="1" applyBorder="1" applyAlignment="1">
      <alignment horizontal="left" vertical="center"/>
    </xf>
    <xf numFmtId="166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65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67" fontId="1" fillId="31" borderId="19" xfId="0" applyNumberFormat="1" applyFont="1" applyFill="1" applyBorder="1" applyAlignment="1">
      <alignment horizontal="center" vertical="center"/>
    </xf>
    <xf numFmtId="166" fontId="1" fillId="31" borderId="19" xfId="0" applyNumberFormat="1" applyFont="1" applyFill="1" applyBorder="1" applyAlignment="1">
      <alignment horizontal="right" vertical="center" wrapText="1"/>
    </xf>
    <xf numFmtId="166" fontId="1" fillId="31" borderId="19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165" fontId="1" fillId="2" borderId="17" xfId="0" applyNumberFormat="1" applyFont="1" applyFill="1" applyBorder="1" applyAlignment="1">
      <alignment vertical="center"/>
    </xf>
    <xf numFmtId="165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67" fontId="2" fillId="4" borderId="19" xfId="0" applyNumberFormat="1" applyFont="1" applyFill="1" applyBorder="1" applyAlignment="1">
      <alignment horizontal="right" vertical="center" wrapText="1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67" fontId="1" fillId="2" borderId="19" xfId="0" applyNumberFormat="1" applyFont="1" applyFill="1" applyBorder="1" applyAlignment="1">
      <alignment horizontal="center" vertical="center"/>
    </xf>
    <xf numFmtId="167" fontId="1" fillId="2" borderId="19" xfId="0" applyNumberFormat="1" applyFont="1" applyFill="1" applyBorder="1" applyAlignment="1">
      <alignment horizontal="right" wrapText="1"/>
    </xf>
    <xf numFmtId="167" fontId="2" fillId="2" borderId="19" xfId="0" applyNumberFormat="1" applyFont="1" applyFill="1" applyBorder="1" applyAlignment="1">
      <alignment horizontal="right" wrapText="1"/>
    </xf>
    <xf numFmtId="165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67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67" fontId="1" fillId="15" borderId="19" xfId="0" applyNumberFormat="1" applyFont="1" applyFill="1" applyBorder="1" applyAlignment="1">
      <alignment horizontal="right" wrapText="1"/>
    </xf>
    <xf numFmtId="167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65" fontId="2" fillId="0" borderId="17" xfId="0" applyNumberFormat="1" applyFont="1" applyBorder="1" applyAlignment="1">
      <alignment vertical="center"/>
    </xf>
    <xf numFmtId="165" fontId="2" fillId="0" borderId="18" xfId="0" applyNumberFormat="1" applyFont="1" applyBorder="1" applyAlignment="1">
      <alignment vertical="center"/>
    </xf>
    <xf numFmtId="165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65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67" fontId="1" fillId="31" borderId="42" xfId="0" applyNumberFormat="1" applyFont="1" applyFill="1" applyBorder="1" applyAlignment="1">
      <alignment horizontal="center" vertical="center"/>
    </xf>
    <xf numFmtId="166" fontId="1" fillId="31" borderId="42" xfId="0" applyNumberFormat="1" applyFont="1" applyFill="1" applyBorder="1" applyAlignment="1">
      <alignment horizontal="right" vertical="center" wrapText="1"/>
    </xf>
    <xf numFmtId="166" fontId="1" fillId="31" borderId="42" xfId="0" applyNumberFormat="1" applyFont="1" applyFill="1" applyBorder="1" applyAlignment="1">
      <alignment vertical="center"/>
    </xf>
    <xf numFmtId="167" fontId="2" fillId="2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0" fontId="15" fillId="0" borderId="20" xfId="0" quotePrefix="1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167" fontId="1" fillId="31" borderId="19" xfId="0" applyNumberFormat="1" applyFont="1" applyFill="1" applyBorder="1" applyAlignment="1">
      <alignment horizontal="center" vertical="center"/>
    </xf>
    <xf numFmtId="165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7" fontId="1" fillId="0" borderId="19" xfId="0" applyNumberFormat="1" applyFont="1" applyBorder="1" applyAlignment="1">
      <alignment horizontal="right" vertical="center" wrapText="1"/>
    </xf>
    <xf numFmtId="167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65" fontId="2" fillId="0" borderId="13" xfId="0" applyNumberFormat="1" applyFont="1" applyBorder="1" applyAlignment="1">
      <alignment vertical="center"/>
    </xf>
    <xf numFmtId="165" fontId="2" fillId="0" borderId="14" xfId="0" applyNumberFormat="1" applyFont="1" applyBorder="1" applyAlignment="1">
      <alignment vertical="center"/>
    </xf>
    <xf numFmtId="165" fontId="2" fillId="0" borderId="14" xfId="0" applyNumberFormat="1" applyFont="1" applyBorder="1" applyAlignment="1">
      <alignment horizontal="left" vertical="center"/>
    </xf>
    <xf numFmtId="165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66" fontId="2" fillId="0" borderId="15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vertical="center"/>
    </xf>
    <xf numFmtId="165" fontId="2" fillId="0" borderId="22" xfId="0" applyNumberFormat="1" applyFont="1" applyBorder="1" applyAlignment="1">
      <alignment vertical="center"/>
    </xf>
    <xf numFmtId="165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67" fontId="2" fillId="0" borderId="34" xfId="0" applyNumberFormat="1" applyFont="1" applyBorder="1" applyAlignment="1">
      <alignment horizontal="right" vertical="center" wrapText="1"/>
    </xf>
    <xf numFmtId="167" fontId="2" fillId="2" borderId="34" xfId="0" applyNumberFormat="1" applyFont="1" applyFill="1" applyBorder="1" applyAlignment="1">
      <alignment horizontal="right" vertical="center" wrapText="1"/>
    </xf>
    <xf numFmtId="165" fontId="1" fillId="0" borderId="13" xfId="0" applyNumberFormat="1" applyFont="1" applyBorder="1" applyAlignment="1">
      <alignment vertical="center"/>
    </xf>
    <xf numFmtId="165" fontId="1" fillId="0" borderId="14" xfId="0" applyNumberFormat="1" applyFont="1" applyBorder="1" applyAlignment="1">
      <alignment vertical="center"/>
    </xf>
    <xf numFmtId="165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67" fontId="1" fillId="22" borderId="15" xfId="0" applyNumberFormat="1" applyFont="1" applyFill="1" applyBorder="1" applyAlignment="1">
      <alignment horizontal="right" vertical="center" wrapText="1"/>
    </xf>
    <xf numFmtId="166" fontId="1" fillId="22" borderId="15" xfId="0" applyNumberFormat="1" applyFont="1" applyFill="1" applyBorder="1" applyAlignment="1">
      <alignment horizontal="right" vertical="center" wrapText="1"/>
    </xf>
    <xf numFmtId="166" fontId="1" fillId="0" borderId="15" xfId="0" applyNumberFormat="1" applyFont="1" applyBorder="1" applyAlignment="1">
      <alignment vertical="center"/>
    </xf>
    <xf numFmtId="165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65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65" fontId="1" fillId="0" borderId="43" xfId="0" applyNumberFormat="1" applyFont="1" applyBorder="1" applyAlignment="1">
      <alignment vertical="center"/>
    </xf>
    <xf numFmtId="165" fontId="1" fillId="0" borderId="44" xfId="0" applyNumberFormat="1" applyFont="1" applyBorder="1" applyAlignment="1">
      <alignment vertical="center"/>
    </xf>
    <xf numFmtId="165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67" fontId="2" fillId="2" borderId="46" xfId="0" applyNumberFormat="1" applyFont="1" applyFill="1" applyBorder="1" applyAlignment="1">
      <alignment horizontal="right" vertical="center" wrapText="1"/>
    </xf>
    <xf numFmtId="166" fontId="2" fillId="0" borderId="46" xfId="0" applyNumberFormat="1" applyFont="1" applyBorder="1" applyAlignment="1">
      <alignment horizontal="right" vertical="center" wrapText="1"/>
    </xf>
    <xf numFmtId="166" fontId="2" fillId="0" borderId="46" xfId="0" applyNumberFormat="1" applyFont="1" applyBorder="1" applyAlignment="1">
      <alignment vertical="center"/>
    </xf>
    <xf numFmtId="0" fontId="16" fillId="0" borderId="20" xfId="0" quotePrefix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67" fontId="2" fillId="2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66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65" fontId="17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67" fontId="2" fillId="2" borderId="46" xfId="0" applyNumberFormat="1" applyFont="1" applyFill="1" applyBorder="1" applyAlignment="1">
      <alignment horizontal="center" vertical="center"/>
    </xf>
    <xf numFmtId="166" fontId="2" fillId="2" borderId="46" xfId="0" applyNumberFormat="1" applyFont="1" applyFill="1" applyBorder="1" applyAlignment="1">
      <alignment horizontal="center" vertical="center"/>
    </xf>
    <xf numFmtId="167" fontId="1" fillId="31" borderId="28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67" fontId="1" fillId="10" borderId="19" xfId="0" applyNumberFormat="1" applyFont="1" applyFill="1" applyBorder="1" applyAlignment="1">
      <alignment horizontal="left" vertical="center"/>
    </xf>
    <xf numFmtId="166" fontId="1" fillId="10" borderId="19" xfId="0" applyNumberFormat="1" applyFont="1" applyFill="1" applyBorder="1" applyAlignment="1">
      <alignment horizontal="left" vertical="center"/>
    </xf>
    <xf numFmtId="166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165" fontId="1" fillId="2" borderId="47" xfId="0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67" fontId="2" fillId="2" borderId="46" xfId="0" applyNumberFormat="1" applyFont="1" applyFill="1" applyBorder="1" applyAlignment="1">
      <alignment horizontal="center" vertical="center"/>
    </xf>
    <xf numFmtId="166" fontId="2" fillId="2" borderId="4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8" fillId="0" borderId="0" xfId="0" applyFont="1" applyAlignment="1"/>
    <xf numFmtId="0" fontId="19" fillId="0" borderId="0" xfId="0" applyFont="1" applyAlignment="1"/>
    <xf numFmtId="166" fontId="19" fillId="0" borderId="0" xfId="0" applyNumberFormat="1" applyFont="1" applyAlignment="1"/>
    <xf numFmtId="169" fontId="19" fillId="0" borderId="0" xfId="0" applyNumberFormat="1" applyFont="1" applyAlignment="1"/>
    <xf numFmtId="0" fontId="20" fillId="0" borderId="0" xfId="0" applyFont="1" applyAlignment="1"/>
    <xf numFmtId="0" fontId="20" fillId="0" borderId="0" xfId="0" applyFont="1" applyAlignment="1"/>
    <xf numFmtId="0" fontId="19" fillId="0" borderId="0" xfId="0" applyFont="1"/>
    <xf numFmtId="166" fontId="19" fillId="0" borderId="0" xfId="0" applyNumberFormat="1" applyFont="1"/>
    <xf numFmtId="169" fontId="19" fillId="0" borderId="0" xfId="0" applyNumberFormat="1" applyFont="1"/>
    <xf numFmtId="0" fontId="19" fillId="0" borderId="0" xfId="0" applyFont="1" applyAlignment="1"/>
    <xf numFmtId="0" fontId="2" fillId="0" borderId="0" xfId="0" applyFont="1" applyAlignment="1">
      <alignment horizontal="center" vertical="center"/>
    </xf>
    <xf numFmtId="164" fontId="0" fillId="0" borderId="0" xfId="0" applyNumberFormat="1" applyFont="1" applyAlignment="1"/>
    <xf numFmtId="0" fontId="7" fillId="15" borderId="18" xfId="0" applyFont="1" applyFill="1" applyBorder="1" applyAlignment="1">
      <alignment horizontal="left"/>
    </xf>
    <xf numFmtId="0" fontId="3" fillId="0" borderId="18" xfId="0" applyFont="1" applyBorder="1"/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5" fillId="2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166" fontId="1" fillId="5" borderId="5" xfId="0" applyNumberFormat="1" applyFont="1" applyFill="1" applyBorder="1" applyAlignment="1">
      <alignment horizontal="center" vertical="center" wrapText="1"/>
    </xf>
    <xf numFmtId="166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Q1154"/>
  <sheetViews>
    <sheetView tabSelected="1" zoomScale="70" zoomScaleNormal="70" workbookViewId="0">
      <pane ySplit="6" topLeftCell="A35" activePane="bottomLeft" state="frozen"/>
      <selection pane="bottomLeft" activeCell="L48" sqref="L48"/>
    </sheetView>
  </sheetViews>
  <sheetFormatPr defaultColWidth="14.44140625" defaultRowHeight="15" customHeight="1" x14ac:dyDescent="0.3"/>
  <cols>
    <col min="1" max="1" width="2.21875" customWidth="1"/>
    <col min="2" max="2" width="6.33203125" customWidth="1"/>
    <col min="3" max="3" width="3.21875" customWidth="1"/>
    <col min="4" max="6" width="5.77734375" customWidth="1"/>
    <col min="7" max="7" width="75.6640625" customWidth="1"/>
    <col min="8" max="8" width="11.44140625" bestFit="1" customWidth="1"/>
    <col min="9" max="10" width="16.77734375" bestFit="1" customWidth="1"/>
    <col min="11" max="11" width="13.44140625" bestFit="1" customWidth="1"/>
    <col min="12" max="14" width="21.21875" bestFit="1" customWidth="1"/>
    <col min="15" max="15" width="18.88671875" bestFit="1" customWidth="1"/>
    <col min="16" max="16" width="20.44140625" bestFit="1" customWidth="1"/>
    <col min="17" max="17" width="16.77734375" bestFit="1" customWidth="1"/>
  </cols>
  <sheetData>
    <row r="1" spans="1:16" ht="18" customHeight="1" x14ac:dyDescent="0.3">
      <c r="A1" s="545" t="s">
        <v>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</row>
    <row r="2" spans="1:16" ht="18" customHeight="1" x14ac:dyDescent="0.3">
      <c r="A2" s="545" t="s">
        <v>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</row>
    <row r="3" spans="1:16" ht="18" customHeight="1" x14ac:dyDescent="0.3">
      <c r="A3" s="545" t="s">
        <v>248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</row>
    <row r="4" spans="1:16" ht="3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3">
      <c r="A5" s="551" t="s">
        <v>2</v>
      </c>
      <c r="B5" s="552"/>
      <c r="C5" s="552"/>
      <c r="D5" s="552"/>
      <c r="E5" s="552"/>
      <c r="F5" s="552"/>
      <c r="G5" s="553"/>
      <c r="H5" s="546" t="s">
        <v>3</v>
      </c>
      <c r="I5" s="548" t="s">
        <v>4</v>
      </c>
      <c r="J5" s="539"/>
      <c r="K5" s="540"/>
      <c r="L5" s="549" t="s">
        <v>5</v>
      </c>
      <c r="M5" s="540"/>
      <c r="N5" s="550" t="s">
        <v>6</v>
      </c>
      <c r="O5" s="539"/>
      <c r="P5" s="540"/>
    </row>
    <row r="6" spans="1:16" ht="21.75" customHeight="1" x14ac:dyDescent="0.3">
      <c r="A6" s="554"/>
      <c r="B6" s="555"/>
      <c r="C6" s="555"/>
      <c r="D6" s="555"/>
      <c r="E6" s="555"/>
      <c r="F6" s="555"/>
      <c r="G6" s="556"/>
      <c r="H6" s="54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4">
      <c r="A7" s="543" t="s">
        <v>15</v>
      </c>
      <c r="B7" s="539"/>
      <c r="C7" s="539"/>
      <c r="D7" s="539"/>
      <c r="E7" s="539"/>
      <c r="F7" s="539"/>
      <c r="G7" s="54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4">
      <c r="A8" s="17"/>
      <c r="B8" s="18"/>
      <c r="C8" s="19" t="s">
        <v>16</v>
      </c>
      <c r="D8" s="544" t="s">
        <v>17</v>
      </c>
      <c r="E8" s="534"/>
      <c r="F8" s="534"/>
      <c r="G8" s="534"/>
      <c r="H8" s="20" t="s">
        <v>12</v>
      </c>
      <c r="I8" s="21"/>
      <c r="J8" s="21"/>
      <c r="K8" s="22"/>
      <c r="L8" s="23">
        <f t="shared" ref="L8:N8" ca="1" si="0">L9+L10</f>
        <v>779339202</v>
      </c>
      <c r="M8" s="23">
        <f t="shared" ca="1" si="0"/>
        <v>476827268</v>
      </c>
      <c r="N8" s="23">
        <f t="shared" ca="1" si="0"/>
        <v>345413205.38</v>
      </c>
      <c r="O8" s="22">
        <f t="shared" ref="O8:O16" ca="1" si="1">IF(L8&gt;0,N8*100/L8,0)</f>
        <v>44.321292255486973</v>
      </c>
      <c r="P8" s="22">
        <f t="shared" ref="P8:P16" ca="1" si="2">IF(M8&gt;0,N8*100/M8,0)</f>
        <v>72.439901943695048</v>
      </c>
    </row>
    <row r="9" spans="1:16" ht="21.75" customHeight="1" x14ac:dyDescent="0.4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360313599.30000001</v>
      </c>
      <c r="M9" s="30">
        <f t="shared" ca="1" si="3"/>
        <v>249913185.74000001</v>
      </c>
      <c r="N9" s="30">
        <f t="shared" ca="1" si="3"/>
        <v>146641911.34</v>
      </c>
      <c r="O9" s="29">
        <f t="shared" ca="1" si="1"/>
        <v>40.698411501783134</v>
      </c>
      <c r="P9" s="29">
        <f t="shared" ca="1" si="2"/>
        <v>58.677140586155609</v>
      </c>
    </row>
    <row r="10" spans="1:16" ht="21.75" customHeight="1" x14ac:dyDescent="0.4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419025602.69999999</v>
      </c>
      <c r="M10" s="30">
        <f t="shared" ca="1" si="4"/>
        <v>226914082.25999999</v>
      </c>
      <c r="N10" s="30">
        <f t="shared" ca="1" si="4"/>
        <v>198771294.03999996</v>
      </c>
      <c r="O10" s="29">
        <f t="shared" ca="1" si="1"/>
        <v>47.436551074495945</v>
      </c>
      <c r="P10" s="29">
        <f t="shared" ca="1" si="2"/>
        <v>87.597601726739114</v>
      </c>
    </row>
    <row r="11" spans="1:16" ht="21.75" customHeight="1" x14ac:dyDescent="0.4">
      <c r="A11" s="31"/>
      <c r="B11" s="32"/>
      <c r="C11" s="33" t="s">
        <v>16</v>
      </c>
      <c r="D11" s="535" t="s">
        <v>20</v>
      </c>
      <c r="E11" s="532"/>
      <c r="F11" s="532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238857368</v>
      </c>
      <c r="M11" s="38">
        <f t="shared" ca="1" si="5"/>
        <v>128509454.44</v>
      </c>
      <c r="N11" s="38">
        <f t="shared" ca="1" si="5"/>
        <v>72372884.340000004</v>
      </c>
      <c r="O11" s="38">
        <f t="shared" ca="1" si="1"/>
        <v>30.299623974756351</v>
      </c>
      <c r="P11" s="38">
        <f t="shared" ca="1" si="2"/>
        <v>56.317167211841443</v>
      </c>
    </row>
    <row r="12" spans="1:16" ht="21.75" customHeight="1" x14ac:dyDescent="0.4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366662134</v>
      </c>
      <c r="M12" s="38">
        <f t="shared" ca="1" si="6"/>
        <v>174550613.56</v>
      </c>
      <c r="N12" s="38">
        <f t="shared" ca="1" si="6"/>
        <v>161225756.09999996</v>
      </c>
      <c r="O12" s="38">
        <f t="shared" ca="1" si="1"/>
        <v>43.971204318578465</v>
      </c>
      <c r="P12" s="38">
        <f t="shared" ca="1" si="2"/>
        <v>92.366192711537067</v>
      </c>
    </row>
    <row r="13" spans="1:16" ht="21.75" customHeight="1" x14ac:dyDescent="0.4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140293600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4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225361534</v>
      </c>
      <c r="M14" s="38">
        <f t="shared" si="8"/>
        <v>0</v>
      </c>
      <c r="N14" s="38">
        <f t="shared" ca="1" si="8"/>
        <v>49024995.329999961</v>
      </c>
      <c r="O14" s="38">
        <f t="shared" ca="1" si="1"/>
        <v>21.753932208324407</v>
      </c>
      <c r="P14" s="38">
        <f t="shared" si="2"/>
        <v>0</v>
      </c>
    </row>
    <row r="15" spans="1:16" ht="21.75" customHeight="1" x14ac:dyDescent="0.4">
      <c r="A15" s="31"/>
      <c r="B15" s="32"/>
      <c r="C15" s="33" t="s">
        <v>16</v>
      </c>
      <c r="D15" s="535" t="s">
        <v>23</v>
      </c>
      <c r="E15" s="532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ca="1" si="9">L25+L35</f>
        <v>121456231.3</v>
      </c>
      <c r="M15" s="38">
        <f t="shared" ca="1" si="9"/>
        <v>121403731.3</v>
      </c>
      <c r="N15" s="38">
        <f t="shared" ca="1" si="9"/>
        <v>74269027</v>
      </c>
      <c r="O15" s="41">
        <f t="shared" ca="1" si="1"/>
        <v>61.148799205331514</v>
      </c>
      <c r="P15" s="41">
        <f t="shared" ca="1" si="2"/>
        <v>61.17524247790562</v>
      </c>
    </row>
    <row r="16" spans="1:16" ht="21.75" customHeight="1" x14ac:dyDescent="0.4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52363468.700000003</v>
      </c>
      <c r="M16" s="38">
        <f t="shared" ca="1" si="10"/>
        <v>52363468.700000003</v>
      </c>
      <c r="N16" s="38">
        <f t="shared" ca="1" si="10"/>
        <v>37545537.939999998</v>
      </c>
      <c r="O16" s="49">
        <f t="shared" ca="1" si="1"/>
        <v>71.701777731924778</v>
      </c>
      <c r="P16" s="49">
        <f t="shared" ca="1" si="2"/>
        <v>71.701777731924778</v>
      </c>
    </row>
    <row r="17" spans="1:16" ht="21.75" customHeight="1" x14ac:dyDescent="0.4">
      <c r="A17" s="543" t="s">
        <v>24</v>
      </c>
      <c r="B17" s="539"/>
      <c r="C17" s="539"/>
      <c r="D17" s="539"/>
      <c r="E17" s="539"/>
      <c r="F17" s="539"/>
      <c r="G17" s="54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4">
      <c r="A18" s="17"/>
      <c r="B18" s="18"/>
      <c r="C18" s="19" t="s">
        <v>16</v>
      </c>
      <c r="D18" s="544" t="s">
        <v>17</v>
      </c>
      <c r="E18" s="534"/>
      <c r="F18" s="534"/>
      <c r="G18" s="534"/>
      <c r="H18" s="20" t="s">
        <v>12</v>
      </c>
      <c r="I18" s="21"/>
      <c r="J18" s="21"/>
      <c r="K18" s="22"/>
      <c r="L18" s="23">
        <f t="shared" ref="L18:N18" ca="1" si="11">L19+L20</f>
        <v>579339200</v>
      </c>
      <c r="M18" s="23">
        <f t="shared" ca="1" si="11"/>
        <v>476827268</v>
      </c>
      <c r="N18" s="23">
        <f t="shared" ca="1" si="11"/>
        <v>289889582.80999994</v>
      </c>
      <c r="O18" s="22">
        <f t="shared" ref="O18:O20" ca="1" si="12">IF(L18&gt;0,N18*100/L18,0)</f>
        <v>50.037971331820792</v>
      </c>
      <c r="P18" s="22">
        <f t="shared" ref="P18:P26" ca="1" si="13">IF(M18&gt;0,N18*100/M18,0)</f>
        <v>60.795512812409029</v>
      </c>
    </row>
    <row r="19" spans="1:16" ht="21.75" customHeight="1" x14ac:dyDescent="0.4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ca="1" si="14">L21+L25</f>
        <v>302213276.30000001</v>
      </c>
      <c r="M19" s="30">
        <f t="shared" ca="1" si="14"/>
        <v>249913185.74000001</v>
      </c>
      <c r="N19" s="30">
        <f t="shared" ca="1" si="14"/>
        <v>140246284.09999999</v>
      </c>
      <c r="O19" s="29">
        <f t="shared" ca="1" si="12"/>
        <v>46.406394125710349</v>
      </c>
      <c r="P19" s="29">
        <f t="shared" ca="1" si="13"/>
        <v>56.118001010921766</v>
      </c>
    </row>
    <row r="20" spans="1:16" ht="21.75" customHeight="1" x14ac:dyDescent="0.4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277125923.69999999</v>
      </c>
      <c r="M20" s="30">
        <f t="shared" ca="1" si="15"/>
        <v>226914082.25999999</v>
      </c>
      <c r="N20" s="30">
        <f t="shared" ca="1" si="15"/>
        <v>149643298.70999998</v>
      </c>
      <c r="O20" s="29">
        <f t="shared" ca="1" si="12"/>
        <v>53.99830398833236</v>
      </c>
      <c r="P20" s="29">
        <f t="shared" ca="1" si="13"/>
        <v>65.94711849506875</v>
      </c>
    </row>
    <row r="21" spans="1:16" ht="21.75" customHeight="1" x14ac:dyDescent="0.4">
      <c r="A21" s="31"/>
      <c r="B21" s="32"/>
      <c r="C21" s="33" t="s">
        <v>16</v>
      </c>
      <c r="D21" s="535" t="s">
        <v>20</v>
      </c>
      <c r="E21" s="532"/>
      <c r="F21" s="532"/>
      <c r="G21" s="34" t="s">
        <v>18</v>
      </c>
      <c r="H21" s="35" t="s">
        <v>12</v>
      </c>
      <c r="I21" s="36"/>
      <c r="J21" s="36"/>
      <c r="K21" s="37"/>
      <c r="L21" s="38">
        <f t="shared" ref="L21:N21" ca="1" si="16">L44+L56+L69+L97+L121+L143+L223+L253+L274+L293+L313+L332</f>
        <v>180757045</v>
      </c>
      <c r="M21" s="41">
        <f t="shared" ca="1" si="16"/>
        <v>128509454.44</v>
      </c>
      <c r="N21" s="38">
        <f t="shared" ca="1" si="16"/>
        <v>65977257.100000001</v>
      </c>
      <c r="O21" s="38">
        <f t="shared" ref="O21:O26" ca="1" si="17">IF(L21&gt;0,N21*100/L21,0)</f>
        <v>36.500517642341407</v>
      </c>
      <c r="P21" s="38">
        <f t="shared" ca="1" si="13"/>
        <v>51.340391559131731</v>
      </c>
    </row>
    <row r="22" spans="1:16" ht="21.75" customHeight="1" x14ac:dyDescent="0.4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224762455</v>
      </c>
      <c r="M22" s="41">
        <f t="shared" ca="1" si="18"/>
        <v>174550613.56</v>
      </c>
      <c r="N22" s="38">
        <f t="shared" ca="1" si="18"/>
        <v>112097760.77</v>
      </c>
      <c r="O22" s="38">
        <f t="shared" ca="1" si="17"/>
        <v>49.873881636503747</v>
      </c>
      <c r="P22" s="38">
        <f t="shared" ca="1" si="13"/>
        <v>64.220777276997381</v>
      </c>
    </row>
    <row r="23" spans="1:16" ht="21.75" customHeight="1" x14ac:dyDescent="0.4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140293600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4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84468855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4">
      <c r="A25" s="31"/>
      <c r="B25" s="32"/>
      <c r="C25" s="33" t="s">
        <v>16</v>
      </c>
      <c r="D25" s="535" t="s">
        <v>23</v>
      </c>
      <c r="E25" s="532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ca="1" si="21">L48+L60+L73+L101+L125+L147+L227+L257+L278+L297+L317+L336+L356</f>
        <v>121456231.3</v>
      </c>
      <c r="M25" s="41">
        <f t="shared" ca="1" si="21"/>
        <v>121403731.3</v>
      </c>
      <c r="N25" s="41">
        <f t="shared" ca="1" si="21"/>
        <v>74269027</v>
      </c>
      <c r="O25" s="41">
        <f t="shared" ca="1" si="17"/>
        <v>61.148799205331514</v>
      </c>
      <c r="P25" s="41">
        <f t="shared" ca="1" si="13"/>
        <v>61.17524247790562</v>
      </c>
    </row>
    <row r="26" spans="1:16" ht="21.75" customHeight="1" x14ac:dyDescent="0.4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52363468.700000003</v>
      </c>
      <c r="M26" s="49">
        <f t="shared" ca="1" si="22"/>
        <v>52363468.700000003</v>
      </c>
      <c r="N26" s="49">
        <f t="shared" ca="1" si="22"/>
        <v>37545537.939999998</v>
      </c>
      <c r="O26" s="49">
        <f t="shared" ca="1" si="17"/>
        <v>71.701777731924778</v>
      </c>
      <c r="P26" s="49">
        <f t="shared" ca="1" si="13"/>
        <v>71.701777731924778</v>
      </c>
    </row>
    <row r="27" spans="1:16" ht="21.75" customHeight="1" x14ac:dyDescent="0.4">
      <c r="A27" s="543" t="s">
        <v>25</v>
      </c>
      <c r="B27" s="539"/>
      <c r="C27" s="539"/>
      <c r="D27" s="539"/>
      <c r="E27" s="539"/>
      <c r="F27" s="539"/>
      <c r="G27" s="54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4">
      <c r="A28" s="17"/>
      <c r="B28" s="18"/>
      <c r="C28" s="19" t="s">
        <v>16</v>
      </c>
      <c r="D28" s="544" t="s">
        <v>17</v>
      </c>
      <c r="E28" s="534"/>
      <c r="F28" s="534"/>
      <c r="G28" s="534"/>
      <c r="H28" s="20" t="s">
        <v>12</v>
      </c>
      <c r="I28" s="21"/>
      <c r="J28" s="21"/>
      <c r="K28" s="22"/>
      <c r="L28" s="23">
        <f t="shared" ref="L28:N28" ca="1" si="23">L29+L30</f>
        <v>200000002</v>
      </c>
      <c r="M28" s="23">
        <f t="shared" si="23"/>
        <v>0</v>
      </c>
      <c r="N28" s="23">
        <f t="shared" ca="1" si="23"/>
        <v>55523622.569999963</v>
      </c>
      <c r="O28" s="22">
        <f t="shared" ref="O28:O30" ca="1" si="24">IF(L28&gt;0,N28*100/L28,0)</f>
        <v>27.761811007381869</v>
      </c>
      <c r="P28" s="22">
        <f t="shared" ref="P28:P37" si="25">IF(M28&gt;0,N28*100/M28,0)</f>
        <v>0</v>
      </c>
    </row>
    <row r="29" spans="1:16" ht="21.75" customHeight="1" x14ac:dyDescent="0.4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58100323</v>
      </c>
      <c r="M29" s="30">
        <f t="shared" si="26"/>
        <v>0</v>
      </c>
      <c r="N29" s="30">
        <f t="shared" ca="1" si="26"/>
        <v>6395627.2400000002</v>
      </c>
      <c r="O29" s="29">
        <f t="shared" ca="1" si="24"/>
        <v>11.007903071382236</v>
      </c>
      <c r="P29" s="29">
        <f t="shared" si="25"/>
        <v>0</v>
      </c>
    </row>
    <row r="30" spans="1:16" ht="21.75" customHeight="1" x14ac:dyDescent="0.4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141899679</v>
      </c>
      <c r="M30" s="30">
        <f t="shared" si="27"/>
        <v>0</v>
      </c>
      <c r="N30" s="30">
        <f t="shared" ca="1" si="27"/>
        <v>49127995.329999961</v>
      </c>
      <c r="O30" s="29">
        <f t="shared" ca="1" si="24"/>
        <v>34.621639510544604</v>
      </c>
      <c r="P30" s="29">
        <f t="shared" si="25"/>
        <v>0</v>
      </c>
    </row>
    <row r="31" spans="1:16" ht="21.75" customHeight="1" x14ac:dyDescent="0.4">
      <c r="A31" s="31"/>
      <c r="B31" s="32"/>
      <c r="C31" s="33" t="s">
        <v>16</v>
      </c>
      <c r="D31" s="535" t="s">
        <v>20</v>
      </c>
      <c r="E31" s="532"/>
      <c r="F31" s="532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L362+L393+L414+L447+L467+L545+L563+L576+L592+L609</f>
        <v>58100323</v>
      </c>
      <c r="M31" s="38">
        <f t="shared" si="28"/>
        <v>0</v>
      </c>
      <c r="N31" s="38">
        <f t="shared" ca="1" si="28"/>
        <v>6395627.2400000002</v>
      </c>
      <c r="O31" s="38">
        <f t="shared" ref="O31:O37" ca="1" si="29">IF(L31&gt;0,N31*100/L31,0)</f>
        <v>11.007903071382236</v>
      </c>
      <c r="P31" s="38">
        <f t="shared" si="25"/>
        <v>0</v>
      </c>
    </row>
    <row r="32" spans="1:16" ht="21.75" customHeight="1" x14ac:dyDescent="0.4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L363+L394+L415+L448+L468+L546+L564+L577+L593+L610</f>
        <v>141899679</v>
      </c>
      <c r="M32" s="38">
        <f t="shared" si="30"/>
        <v>0</v>
      </c>
      <c r="N32" s="38">
        <f t="shared" ca="1" si="30"/>
        <v>49127995.329999961</v>
      </c>
      <c r="O32" s="38">
        <f t="shared" ca="1" si="29"/>
        <v>34.621639510544604</v>
      </c>
      <c r="P32" s="38">
        <f t="shared" si="25"/>
        <v>0</v>
      </c>
    </row>
    <row r="33" spans="1:16" ht="21.75" customHeight="1" x14ac:dyDescent="0.4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L364+L395+L416+L449+L469+L547+L565+L578+L594+L611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4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L365+L396+L417+L450+L470+L548+L566+L579+L595+L612</f>
        <v>140892679</v>
      </c>
      <c r="M34" s="38">
        <f t="shared" si="32"/>
        <v>0</v>
      </c>
      <c r="N34" s="38">
        <f t="shared" ca="1" si="32"/>
        <v>49024995.329999961</v>
      </c>
      <c r="O34" s="38">
        <f t="shared" ca="1" si="29"/>
        <v>34.795984914162901</v>
      </c>
      <c r="P34" s="38">
        <f t="shared" si="25"/>
        <v>0</v>
      </c>
    </row>
    <row r="35" spans="1:16" ht="21.75" customHeight="1" x14ac:dyDescent="0.4">
      <c r="A35" s="31"/>
      <c r="B35" s="32"/>
      <c r="C35" s="33" t="s">
        <v>16</v>
      </c>
      <c r="D35" s="535" t="s">
        <v>23</v>
      </c>
      <c r="E35" s="532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4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ca="1">L41+L53+L66+L94+L118+L140+L220+L250+L271+L290+L310+L329+L349</f>
        <v>579339200</v>
      </c>
      <c r="M37" s="54">
        <f t="shared" ref="M37:N37" ca="1" si="33">M41+M53+M66+M94+M118+M140+M220+M250+M271+M290+M310+M329</f>
        <v>468497068</v>
      </c>
      <c r="N37" s="54">
        <f t="shared" ca="1" si="33"/>
        <v>281689582.81</v>
      </c>
      <c r="O37" s="55">
        <f t="shared" ca="1" si="29"/>
        <v>48.622565642028022</v>
      </c>
      <c r="P37" s="55">
        <f t="shared" ca="1" si="25"/>
        <v>60.126221069541465</v>
      </c>
    </row>
    <row r="38" spans="1:16" ht="21.75" customHeight="1" x14ac:dyDescent="0.4">
      <c r="A38" s="538" t="s">
        <v>27</v>
      </c>
      <c r="B38" s="539"/>
      <c r="C38" s="539"/>
      <c r="D38" s="539"/>
      <c r="E38" s="539"/>
      <c r="F38" s="539"/>
      <c r="G38" s="54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4">
      <c r="A39" s="60"/>
      <c r="B39" s="541" t="s">
        <v>28</v>
      </c>
      <c r="C39" s="534"/>
      <c r="D39" s="534"/>
      <c r="E39" s="534"/>
      <c r="F39" s="534"/>
      <c r="G39" s="534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4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4">
      <c r="A41" s="72"/>
      <c r="B41" s="73"/>
      <c r="C41" s="74" t="s">
        <v>16</v>
      </c>
      <c r="D41" s="542" t="s">
        <v>17</v>
      </c>
      <c r="E41" s="532"/>
      <c r="F41" s="532"/>
      <c r="G41" s="532"/>
      <c r="H41" s="75" t="s">
        <v>12</v>
      </c>
      <c r="I41" s="76"/>
      <c r="J41" s="76"/>
      <c r="K41" s="77"/>
      <c r="L41" s="78">
        <f t="shared" ref="L41:N41" ca="1" si="34">L42+L43</f>
        <v>189799700</v>
      </c>
      <c r="M41" s="78">
        <f t="shared" ca="1" si="34"/>
        <v>159671168</v>
      </c>
      <c r="N41" s="78">
        <f t="shared" ca="1" si="34"/>
        <v>97087553.020000011</v>
      </c>
      <c r="O41" s="77">
        <f t="shared" ref="O41:O45" ca="1" si="35">IF(L41&gt;0,N41*100/L41,0)</f>
        <v>51.152637764970137</v>
      </c>
      <c r="P41" s="77">
        <f t="shared" ref="P41:P45" ca="1" si="36">IF(M41&gt;0,N41*100/M41,0)</f>
        <v>60.804686429048992</v>
      </c>
    </row>
    <row r="42" spans="1:16" ht="21.75" customHeight="1" x14ac:dyDescent="0.4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ca="1" si="37">L44+L48</f>
        <v>110699661.3</v>
      </c>
      <c r="M42" s="78">
        <f t="shared" ca="1" si="37"/>
        <v>93192740.299999997</v>
      </c>
      <c r="N42" s="78">
        <f t="shared" ca="1" si="37"/>
        <v>51294553.149999999</v>
      </c>
      <c r="O42" s="77">
        <f t="shared" ca="1" si="35"/>
        <v>46.336684816939005</v>
      </c>
      <c r="P42" s="77">
        <f t="shared" ca="1" si="36"/>
        <v>55.041361574813571</v>
      </c>
    </row>
    <row r="43" spans="1:16" ht="21.75" customHeight="1" x14ac:dyDescent="0.4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79100038.700000003</v>
      </c>
      <c r="M43" s="78">
        <f t="shared" ca="1" si="38"/>
        <v>66478427.700000003</v>
      </c>
      <c r="N43" s="78">
        <f t="shared" ca="1" si="38"/>
        <v>45792999.870000005</v>
      </c>
      <c r="O43" s="77">
        <f t="shared" ca="1" si="35"/>
        <v>57.892512598732772</v>
      </c>
      <c r="P43" s="77">
        <f t="shared" ca="1" si="36"/>
        <v>68.883999598564515</v>
      </c>
    </row>
    <row r="44" spans="1:16" ht="21.75" customHeight="1" x14ac:dyDescent="0.4">
      <c r="A44" s="79"/>
      <c r="B44" s="80"/>
      <c r="C44" s="81" t="s">
        <v>16</v>
      </c>
      <c r="D44" s="531" t="s">
        <v>20</v>
      </c>
      <c r="E44" s="532"/>
      <c r="F44" s="532"/>
      <c r="G44" s="82" t="s">
        <v>18</v>
      </c>
      <c r="H44" s="83" t="s">
        <v>12</v>
      </c>
      <c r="I44" s="84"/>
      <c r="J44" s="84"/>
      <c r="K44" s="85"/>
      <c r="L44" s="38">
        <f ca="1">IFERROR(__xludf.DUMMYFUNCTION("IMPORTRANGE(""https://docs.google.com/spreadsheets/d/1Yj_ptqi66GCucihVvJfMjLAmec39IyEx_6qawtMGysU/edit?usp=sharing"",""สบก!L15"")"),64721000)</f>
        <v>64721000</v>
      </c>
      <c r="M44" s="41">
        <f ca="1">IFERROR(__xludf.DUMMYFUNCTION("IMPORTRANGE(""https://docs.google.com/spreadsheets/d/1Yj_ptqi66GCucihVvJfMjLAmec39IyEx_6qawtMGysU/edit?usp=sharing"",""สบก!Q15"")"),47214079)</f>
        <v>47214079</v>
      </c>
      <c r="N44" s="38">
        <f ca="1">IFERROR(__xludf.DUMMYFUNCTION("IMPORTRANGE(""https://docs.google.com/spreadsheets/d/1Yj_ptqi66GCucihVvJfMjLAmec39IyEx_6qawtMGysU/edit?usp=sharing"",""สบก!R15"")"),33514432.15)</f>
        <v>33514432.149999999</v>
      </c>
      <c r="O44" s="38">
        <f t="shared" ca="1" si="35"/>
        <v>51.782933128350919</v>
      </c>
      <c r="P44" s="38">
        <f t="shared" ca="1" si="36"/>
        <v>70.983979482052376</v>
      </c>
    </row>
    <row r="45" spans="1:16" ht="21.75" customHeight="1" x14ac:dyDescent="0.4">
      <c r="A45" s="79"/>
      <c r="B45" s="80"/>
      <c r="C45" s="80"/>
      <c r="D45" s="80"/>
      <c r="E45" s="86"/>
      <c r="F45" s="87"/>
      <c r="G45" s="82" t="s">
        <v>19</v>
      </c>
      <c r="H45" s="83" t="s">
        <v>12</v>
      </c>
      <c r="I45" s="84"/>
      <c r="J45" s="84"/>
      <c r="K45" s="85"/>
      <c r="L45" s="38">
        <f ca="1">IFERROR(__xludf.DUMMYFUNCTION("IMPORTRANGE(""https://docs.google.com/spreadsheets/d/1yGy89TWty5kAjAO5OL1fLLQ_DL8fVJHFf2LvMm8qymA/edit?usp=sharing"",""รวมเหนือ!L45"")+IMPORTRANGE(""https://docs.google.com/spreadsheets/d/1bWGR5Y7oTgtZIep2hLdTHG-chM0w9aHBSSpJHwm6lak/edit?usp=sharing"",""ร"&amp;"วมตะวันออกเฉียงเหนือ!L45"")+IMPORTRANGE(""https://docs.google.com/spreadsheets/d/1dCxWUCc_SKNp-qd8qsaa5pPX_-BuQqWJ_-8FnsS4Ki0/edit?usp=sharing"",""รวมกลาง!L45"")+IMPORTRANGE(""https://docs.google.com/spreadsheets/d/1uOzBKYgpuhMUe0xXQLXSct3xZ80hakAMJHdGJh9"&amp;"616E/edit?usp=sharing"",""รวมใต้!L45"")"),51724300)</f>
        <v>51724300</v>
      </c>
      <c r="M45" s="49">
        <f ca="1">IFERROR(__xludf.DUMMYFUNCTION("IMPORTRANGE(""https://docs.google.com/spreadsheets/d/1yGy89TWty5kAjAO5OL1fLLQ_DL8fVJHFf2LvMm8qymA/edit?usp=sharing"",""รวมเหนือ!M45"")+IMPORTRANGE(""https://docs.google.com/spreadsheets/d/1bWGR5Y7oTgtZIep2hLdTHG-chM0w9aHBSSpJHwm6lak/edit?usp=sharing"",""ร"&amp;"วมตะวันออกเฉียงเหนือ!M45"")+IMPORTRANGE(""https://docs.google.com/spreadsheets/d/1dCxWUCc_SKNp-qd8qsaa5pPX_-BuQqWJ_-8FnsS4Ki0/edit?usp=sharing"",""รวมกลาง!M45"")+IMPORTRANGE(""https://docs.google.com/spreadsheets/d/1uOzBKYgpuhMUe0xXQLXSct3xZ80hakAMJHdGJh9"&amp;"616E/edit?usp=sharing"",""รวมใต้!M45"")"),39102689)</f>
        <v>39102689</v>
      </c>
      <c r="N45" s="49">
        <f ca="1">IFERROR(__xludf.DUMMYFUNCTION("IMPORTRANGE(""https://docs.google.com/spreadsheets/d/1yGy89TWty5kAjAO5OL1fLLQ_DL8fVJHFf2LvMm8qymA/edit?usp=sharing"",""รวมเหนือ!N45"")+IMPORTRANGE(""https://docs.google.com/spreadsheets/d/1bWGR5Y7oTgtZIep2hLdTHG-chM0w9aHBSSpJHwm6lak/edit?usp=sharing"",""ร"&amp;"วมตะวันออกเฉียงเหนือ!N45"")+IMPORTRANGE(""https://docs.google.com/spreadsheets/d/1dCxWUCc_SKNp-qd8qsaa5pPX_-BuQqWJ_-8FnsS4Ki0/edit?usp=sharing"",""รวมกลาง!N45"")+IMPORTRANGE(""https://docs.google.com/spreadsheets/d/1uOzBKYgpuhMUe0xXQLXSct3xZ80hakAMJHdGJh9"&amp;"616E/edit?usp=sharing"",""รวมใต้!N45"")"),26267261.17)</f>
        <v>26267261.170000002</v>
      </c>
      <c r="O45" s="38">
        <f t="shared" ca="1" si="35"/>
        <v>50.783212474600916</v>
      </c>
      <c r="P45" s="38">
        <f t="shared" ca="1" si="36"/>
        <v>67.175076297182528</v>
      </c>
    </row>
    <row r="46" spans="1:16" ht="21.75" customHeight="1" x14ac:dyDescent="0.4">
      <c r="A46" s="79"/>
      <c r="B46" s="80"/>
      <c r="C46" s="80"/>
      <c r="D46" s="80"/>
      <c r="E46" s="86"/>
      <c r="F46" s="86"/>
      <c r="G46" s="34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Gy89TWty5kAjAO5OL1fLLQ_DL8fVJHFf2LvMm8qymA/edit?usp=sharing"",""รวมเหนือ!L46"")+IMPORTRANGE(""https://docs.google.com/spreadsheets/d/1bWGR5Y7oTgtZIep2hLdTHG-chM0w9aHBSSpJHwm6lak/edit?usp=sharing"",""ร"&amp;"วมตะวันออกเฉียงเหนือ!L46"")+IMPORTRANGE(""https://docs.google.com/spreadsheets/d/1dCxWUCc_SKNp-qd8qsaa5pPX_-BuQqWJ_-8FnsS4Ki0/edit?usp=sharing"",""รวมกลาง!L46"")+IMPORTRANGE(""https://docs.google.com/spreadsheets/d/1uOzBKYgpuhMUe0xXQLXSct3xZ80hakAMJHdGJh9"&amp;"616E/edit?usp=sharing"",""รวมใต้!L46"")"),51724300)</f>
        <v>51724300</v>
      </c>
      <c r="M46" s="41"/>
      <c r="N46" s="38"/>
      <c r="O46" s="38"/>
      <c r="P46" s="38"/>
    </row>
    <row r="47" spans="1:16" ht="21.75" customHeight="1" x14ac:dyDescent="0.4">
      <c r="A47" s="79"/>
      <c r="B47" s="80"/>
      <c r="C47" s="80"/>
      <c r="D47" s="80"/>
      <c r="E47" s="86"/>
      <c r="F47" s="86"/>
      <c r="G47" s="34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Gy89TWty5kAjAO5OL1fLLQ_DL8fVJHFf2LvMm8qymA/edit?usp=sharing"",""รวมเหนือ!L47"")+IMPORTRANGE(""https://docs.google.com/spreadsheets/d/1bWGR5Y7oTgtZIep2hLdTHG-chM0w9aHBSSpJHwm6lak/edit?usp=sharing"",""ร"&amp;"วมตะวันออกเฉียงเหนือ!L47"")+IMPORTRANGE(""https://docs.google.com/spreadsheets/d/1dCxWUCc_SKNp-qd8qsaa5pPX_-BuQqWJ_-8FnsS4Ki0/edit?usp=sharing"",""รวมกลาง!L47"")+IMPORTRANGE(""https://docs.google.com/spreadsheets/d/1uOzBKYgpuhMUe0xXQLXSct3xZ80hakAMJHdGJh9"&amp;"616E/edit?usp=sharing"",""รวมใต้!L47"")"),0)</f>
        <v>0</v>
      </c>
      <c r="M47" s="41"/>
      <c r="N47" s="38"/>
      <c r="O47" s="38"/>
      <c r="P47" s="38"/>
    </row>
    <row r="48" spans="1:16" ht="21.75" customHeight="1" x14ac:dyDescent="0.4">
      <c r="A48" s="79"/>
      <c r="B48" s="80"/>
      <c r="C48" s="81" t="s">
        <v>16</v>
      </c>
      <c r="D48" s="531" t="s">
        <v>23</v>
      </c>
      <c r="E48" s="532"/>
      <c r="F48" s="86"/>
      <c r="G48" s="82" t="s">
        <v>18</v>
      </c>
      <c r="H48" s="83" t="s">
        <v>12</v>
      </c>
      <c r="I48" s="84"/>
      <c r="J48" s="84"/>
      <c r="K48" s="85"/>
      <c r="L48" s="50">
        <f ca="1">IFERROR(__xludf.DUMMYFUNCTION("IMPORTRANGE(""https://docs.google.com/spreadsheets/d/1Yj_ptqi66GCucihVvJfMjLAmec39IyEx_6qawtMGysU/edit?usp=sharing"",""สบก!O15"")"),45978661.3)</f>
        <v>45978661.299999997</v>
      </c>
      <c r="M48" s="41">
        <f ca="1">L48</f>
        <v>45978661.299999997</v>
      </c>
      <c r="N48" s="41">
        <f ca="1">IFERROR(__xludf.DUMMYFUNCTION("IMPORTRANGE(""https://docs.google.com/spreadsheets/d/1Yj_ptqi66GCucihVvJfMjLAmec39IyEx_6qawtMGysU/edit?usp=sharing"",""สบก!S15"")"),17780121)</f>
        <v>17780121</v>
      </c>
      <c r="O48" s="41">
        <f t="shared" ref="O48:O49" ca="1" si="39">IF(L48&gt;0,N48*100/L48,0)</f>
        <v>38.670375555279598</v>
      </c>
      <c r="P48" s="41">
        <f t="shared" ref="P48:P49" ca="1" si="40">IF(M48&gt;0,N48*100/M48,0)</f>
        <v>38.670375555279598</v>
      </c>
    </row>
    <row r="49" spans="1:16" ht="21.75" customHeight="1" x14ac:dyDescent="0.4">
      <c r="A49" s="88"/>
      <c r="B49" s="89"/>
      <c r="C49" s="89"/>
      <c r="D49" s="89"/>
      <c r="E49" s="90"/>
      <c r="F49" s="90"/>
      <c r="G49" s="91" t="s">
        <v>19</v>
      </c>
      <c r="H49" s="92" t="s">
        <v>12</v>
      </c>
      <c r="I49" s="93"/>
      <c r="J49" s="93"/>
      <c r="K49" s="94"/>
      <c r="L49" s="49">
        <f ca="1">IFERROR(__xludf.DUMMYFUNCTION("IMPORTRANGE(""https://docs.google.com/spreadsheets/d/1yGy89TWty5kAjAO5OL1fLLQ_DL8fVJHFf2LvMm8qymA/edit?usp=sharing"",""รวมเหนือ!L49"")+IMPORTRANGE(""https://docs.google.com/spreadsheets/d/1bWGR5Y7oTgtZIep2hLdTHG-chM0w9aHBSSpJHwm6lak/edit?usp=sharing"",""ร"&amp;"วมตะวันออกเฉียงเหนือ!L49"")+IMPORTRANGE(""https://docs.google.com/spreadsheets/d/1dCxWUCc_SKNp-qd8qsaa5pPX_-BuQqWJ_-8FnsS4Ki0/edit?usp=sharing"",""รวมกลาง!L49"")+IMPORTRANGE(""https://docs.google.com/spreadsheets/d/1uOzBKYgpuhMUe0xXQLXSct3xZ80hakAMJHdGJh9"&amp;"616E/edit?usp=sharing"",""รวมใต้!L49"")"),27375738.7)</f>
        <v>27375738.699999999</v>
      </c>
      <c r="M49" s="49">
        <f ca="1">IFERROR(__xludf.DUMMYFUNCTION("IMPORTRANGE(""https://docs.google.com/spreadsheets/d/1yGy89TWty5kAjAO5OL1fLLQ_DL8fVJHFf2LvMm8qymA/edit?usp=sharing"",""รวมเหนือ!M49"")+IMPORTRANGE(""https://docs.google.com/spreadsheets/d/1bWGR5Y7oTgtZIep2hLdTHG-chM0w9aHBSSpJHwm6lak/edit?usp=sharing"",""ร"&amp;"วมตะวันออกเฉียงเหนือ!M49"")+IMPORTRANGE(""https://docs.google.com/spreadsheets/d/1dCxWUCc_SKNp-qd8qsaa5pPX_-BuQqWJ_-8FnsS4Ki0/edit?usp=sharing"",""รวมกลาง!M49"")+IMPORTRANGE(""https://docs.google.com/spreadsheets/d/1uOzBKYgpuhMUe0xXQLXSct3xZ80hakAMJHdGJh9"&amp;"616E/edit?usp=sharing"",""รวมใต้!M49"")"),27375738.7)</f>
        <v>27375738.699999999</v>
      </c>
      <c r="N49" s="49">
        <f ca="1">IFERROR(__xludf.DUMMYFUNCTION("IMPORTRANGE(""https://docs.google.com/spreadsheets/d/1yGy89TWty5kAjAO5OL1fLLQ_DL8fVJHFf2LvMm8qymA/edit?usp=sharing"",""รวมเหนือ!N49"")+IMPORTRANGE(""https://docs.google.com/spreadsheets/d/1bWGR5Y7oTgtZIep2hLdTHG-chM0w9aHBSSpJHwm6lak/edit?usp=sharing"",""ร"&amp;"วมตะวันออกเฉียงเหนือ!N49"")+IMPORTRANGE(""https://docs.google.com/spreadsheets/d/1dCxWUCc_SKNp-qd8qsaa5pPX_-BuQqWJ_-8FnsS4Ki0/edit?usp=sharing"",""รวมกลาง!N49"")+IMPORTRANGE(""https://docs.google.com/spreadsheets/d/1uOzBKYgpuhMUe0xXQLXSct3xZ80hakAMJHdGJh9"&amp;"616E/edit?usp=sharing"",""รวมใต้!N49"")"),19525738.7)</f>
        <v>19525738.699999999</v>
      </c>
      <c r="O49" s="49">
        <f t="shared" ca="1" si="39"/>
        <v>71.324974693742234</v>
      </c>
      <c r="P49" s="49">
        <f t="shared" ca="1" si="40"/>
        <v>71.324974693742234</v>
      </c>
    </row>
    <row r="50" spans="1:16" ht="21.75" customHeight="1" x14ac:dyDescent="0.4">
      <c r="A50" s="95" t="s">
        <v>30</v>
      </c>
      <c r="B50" s="96"/>
      <c r="C50" s="96"/>
      <c r="D50" s="96"/>
      <c r="E50" s="96"/>
      <c r="F50" s="96"/>
      <c r="G50" s="96"/>
      <c r="H50" s="97"/>
      <c r="I50" s="98"/>
      <c r="J50" s="98"/>
      <c r="K50" s="99"/>
      <c r="L50" s="100"/>
      <c r="M50" s="100"/>
      <c r="N50" s="100"/>
      <c r="O50" s="99"/>
      <c r="P50" s="99"/>
    </row>
    <row r="51" spans="1:16" ht="21.75" customHeight="1" x14ac:dyDescent="0.4">
      <c r="A51" s="101"/>
      <c r="B51" s="102" t="s">
        <v>31</v>
      </c>
      <c r="C51" s="102"/>
      <c r="D51" s="102"/>
      <c r="E51" s="102"/>
      <c r="F51" s="102"/>
      <c r="G51" s="102"/>
      <c r="H51" s="103"/>
      <c r="I51" s="104"/>
      <c r="J51" s="104"/>
      <c r="K51" s="105"/>
      <c r="L51" s="106"/>
      <c r="M51" s="106"/>
      <c r="N51" s="106"/>
      <c r="O51" s="105"/>
      <c r="P51" s="105"/>
    </row>
    <row r="52" spans="1:16" ht="21.75" customHeight="1" x14ac:dyDescent="0.4">
      <c r="A52" s="107"/>
      <c r="B52" s="536" t="s">
        <v>32</v>
      </c>
      <c r="C52" s="532"/>
      <c r="D52" s="532"/>
      <c r="E52" s="532"/>
      <c r="F52" s="532"/>
      <c r="G52" s="532"/>
      <c r="H52" s="108"/>
      <c r="I52" s="109"/>
      <c r="J52" s="109"/>
      <c r="K52" s="110"/>
      <c r="L52" s="111"/>
      <c r="M52" s="111"/>
      <c r="N52" s="111"/>
      <c r="O52" s="110"/>
      <c r="P52" s="110"/>
    </row>
    <row r="53" spans="1:16" ht="21.75" customHeight="1" x14ac:dyDescent="0.4">
      <c r="A53" s="112"/>
      <c r="B53" s="113"/>
      <c r="C53" s="114" t="s">
        <v>16</v>
      </c>
      <c r="D53" s="537" t="s">
        <v>17</v>
      </c>
      <c r="E53" s="532"/>
      <c r="F53" s="532"/>
      <c r="G53" s="532"/>
      <c r="H53" s="115" t="s">
        <v>12</v>
      </c>
      <c r="I53" s="116"/>
      <c r="J53" s="116"/>
      <c r="K53" s="117"/>
      <c r="L53" s="118">
        <f t="shared" ref="L53:N53" ca="1" si="41">L54+L55</f>
        <v>48373600</v>
      </c>
      <c r="M53" s="118">
        <f t="shared" ca="1" si="41"/>
        <v>36280200</v>
      </c>
      <c r="N53" s="118">
        <f t="shared" ca="1" si="41"/>
        <v>24372955.609999999</v>
      </c>
      <c r="O53" s="117">
        <f t="shared" ref="O53:O57" ca="1" si="42">IF(L53&gt;0,N53*100/L53,0)</f>
        <v>50.384828935617776</v>
      </c>
      <c r="P53" s="117">
        <f t="shared" ref="P53:P57" ca="1" si="43">IF(M53&gt;0,N53*100/M53,0)</f>
        <v>67.17977191415703</v>
      </c>
    </row>
    <row r="54" spans="1:16" ht="21.75" customHeight="1" x14ac:dyDescent="0.4">
      <c r="A54" s="112"/>
      <c r="B54" s="113"/>
      <c r="C54" s="113"/>
      <c r="D54" s="113"/>
      <c r="E54" s="113"/>
      <c r="F54" s="113"/>
      <c r="G54" s="114" t="s">
        <v>18</v>
      </c>
      <c r="H54" s="115" t="s">
        <v>12</v>
      </c>
      <c r="I54" s="116"/>
      <c r="J54" s="116"/>
      <c r="K54" s="117"/>
      <c r="L54" s="118">
        <f t="shared" ref="L54:N54" ca="1" si="44">L56+L60</f>
        <v>13069100</v>
      </c>
      <c r="M54" s="118">
        <f t="shared" ca="1" si="44"/>
        <v>7955290.4400000004</v>
      </c>
      <c r="N54" s="118">
        <f t="shared" ca="1" si="44"/>
        <v>4588564.1100000003</v>
      </c>
      <c r="O54" s="117">
        <f t="shared" ca="1" si="42"/>
        <v>35.11002372007254</v>
      </c>
      <c r="P54" s="117">
        <f t="shared" ca="1" si="43"/>
        <v>57.679403971578949</v>
      </c>
    </row>
    <row r="55" spans="1:16" ht="21.75" customHeight="1" x14ac:dyDescent="0.4">
      <c r="A55" s="112"/>
      <c r="B55" s="113"/>
      <c r="C55" s="113"/>
      <c r="D55" s="113"/>
      <c r="E55" s="113"/>
      <c r="F55" s="113"/>
      <c r="G55" s="114" t="s">
        <v>19</v>
      </c>
      <c r="H55" s="115" t="s">
        <v>12</v>
      </c>
      <c r="I55" s="116"/>
      <c r="J55" s="116"/>
      <c r="K55" s="117"/>
      <c r="L55" s="118">
        <f t="shared" ref="L55:N55" ca="1" si="45">L57+L61</f>
        <v>35304500</v>
      </c>
      <c r="M55" s="118">
        <f t="shared" ca="1" si="45"/>
        <v>28324909.559999999</v>
      </c>
      <c r="N55" s="118">
        <f t="shared" ca="1" si="45"/>
        <v>19784391.5</v>
      </c>
      <c r="O55" s="117">
        <f t="shared" ca="1" si="42"/>
        <v>56.039291025223413</v>
      </c>
      <c r="P55" s="117">
        <f t="shared" ca="1" si="43"/>
        <v>69.848030610975769</v>
      </c>
    </row>
    <row r="56" spans="1:16" ht="21.75" customHeight="1" x14ac:dyDescent="0.4">
      <c r="A56" s="79"/>
      <c r="B56" s="80"/>
      <c r="C56" s="81" t="s">
        <v>16</v>
      </c>
      <c r="D56" s="531" t="s">
        <v>20</v>
      </c>
      <c r="E56" s="532"/>
      <c r="F56" s="532"/>
      <c r="G56" s="82" t="s">
        <v>18</v>
      </c>
      <c r="H56" s="83" t="s">
        <v>12</v>
      </c>
      <c r="I56" s="84"/>
      <c r="J56" s="84"/>
      <c r="K56" s="85"/>
      <c r="L56" s="119">
        <f ca="1">IFERROR(__xludf.DUMMYFUNCTION("IMPORTRANGE(""https://docs.google.com/spreadsheets/d/1Yj_ptqi66GCucihVvJfMjLAmec39IyEx_6qawtMGysU/edit?usp=sharing"",""สบก!U15"")"),13069100)</f>
        <v>13069100</v>
      </c>
      <c r="M56" s="120">
        <f ca="1">IFERROR(__xludf.DUMMYFUNCTION("IMPORTRANGE(""https://docs.google.com/spreadsheets/d/1Yj_ptqi66GCucihVvJfMjLAmec39IyEx_6qawtMGysU/edit?usp=sharing"",""สบก!Z15"")"),7955290.44)</f>
        <v>7955290.4400000004</v>
      </c>
      <c r="N56" s="119">
        <f ca="1">IFERROR(__xludf.DUMMYFUNCTION("IMPORTRANGE(""https://docs.google.com/spreadsheets/d/1Yj_ptqi66GCucihVvJfMjLAmec39IyEx_6qawtMGysU/edit?usp=sharing"",""สบก!AA15"")"),4588564.11)</f>
        <v>4588564.1100000003</v>
      </c>
      <c r="O56" s="119">
        <f t="shared" ca="1" si="42"/>
        <v>35.11002372007254</v>
      </c>
      <c r="P56" s="119">
        <f t="shared" ca="1" si="43"/>
        <v>57.679403971578949</v>
      </c>
    </row>
    <row r="57" spans="1:16" ht="21.75" customHeight="1" x14ac:dyDescent="0.4">
      <c r="A57" s="79"/>
      <c r="B57" s="80"/>
      <c r="C57" s="80"/>
      <c r="D57" s="80"/>
      <c r="E57" s="86"/>
      <c r="F57" s="87"/>
      <c r="G57" s="82" t="s">
        <v>19</v>
      </c>
      <c r="H57" s="83" t="s">
        <v>12</v>
      </c>
      <c r="I57" s="84"/>
      <c r="J57" s="84"/>
      <c r="K57" s="85"/>
      <c r="L57" s="38">
        <f ca="1">IFERROR(__xludf.DUMMYFUNCTION("IMPORTRANGE(""https://docs.google.com/spreadsheets/d/1yGy89TWty5kAjAO5OL1fLLQ_DL8fVJHFf2LvMm8qymA/edit?usp=sharing"",""รวมเหนือ!L57"")+IMPORTRANGE(""https://docs.google.com/spreadsheets/d/1bWGR5Y7oTgtZIep2hLdTHG-chM0w9aHBSSpJHwm6lak/edit?usp=sharing"",""ร"&amp;"วมตะวันออกเฉียงเหนือ!L57"")+IMPORTRANGE(""https://docs.google.com/spreadsheets/d/1dCxWUCc_SKNp-qd8qsaa5pPX_-BuQqWJ_-8FnsS4Ki0/edit?usp=sharing"",""รวมกลาง!L57"")+IMPORTRANGE(""https://docs.google.com/spreadsheets/d/1uOzBKYgpuhMUe0xXQLXSct3xZ80hakAMJHdGJh9"&amp;"616E/edit?usp=sharing"",""รวมใต้!L57"")"),35304500)</f>
        <v>35304500</v>
      </c>
      <c r="M57" s="49">
        <f ca="1">IFERROR(__xludf.DUMMYFUNCTION("IMPORTRANGE(""https://docs.google.com/spreadsheets/d/1yGy89TWty5kAjAO5OL1fLLQ_DL8fVJHFf2LvMm8qymA/edit?usp=sharing"",""รวมเหนือ!M57"")+IMPORTRANGE(""https://docs.google.com/spreadsheets/d/1bWGR5Y7oTgtZIep2hLdTHG-chM0w9aHBSSpJHwm6lak/edit?usp=sharing"",""ร"&amp;"วมตะวันออกเฉียงเหนือ!M57"")+IMPORTRANGE(""https://docs.google.com/spreadsheets/d/1dCxWUCc_SKNp-qd8qsaa5pPX_-BuQqWJ_-8FnsS4Ki0/edit?usp=sharing"",""รวมกลาง!M57"")+IMPORTRANGE(""https://docs.google.com/spreadsheets/d/1uOzBKYgpuhMUe0xXQLXSct3xZ80hakAMJHdGJh9"&amp;"616E/edit?usp=sharing"",""รวมใต้!M57"")"),28324909.56)</f>
        <v>28324909.559999999</v>
      </c>
      <c r="N57" s="49">
        <f ca="1">IFERROR(__xludf.DUMMYFUNCTION("IMPORTRANGE(""https://docs.google.com/spreadsheets/d/1yGy89TWty5kAjAO5OL1fLLQ_DL8fVJHFf2LvMm8qymA/edit?usp=sharing"",""รวมเหนือ!N57"")+IMPORTRANGE(""https://docs.google.com/spreadsheets/d/1bWGR5Y7oTgtZIep2hLdTHG-chM0w9aHBSSpJHwm6lak/edit?usp=sharing"",""ร"&amp;"วมตะวันออกเฉียงเหนือ!N57"")+IMPORTRANGE(""https://docs.google.com/spreadsheets/d/1dCxWUCc_SKNp-qd8qsaa5pPX_-BuQqWJ_-8FnsS4Ki0/edit?usp=sharing"",""รวมกลาง!N57"")+IMPORTRANGE(""https://docs.google.com/spreadsheets/d/1uOzBKYgpuhMUe0xXQLXSct3xZ80hakAMJHdGJh9"&amp;"616E/edit?usp=sharing"",""รวมใต้!N57"")"),19784391.5)</f>
        <v>19784391.5</v>
      </c>
      <c r="O57" s="119">
        <f t="shared" ca="1" si="42"/>
        <v>56.039291025223413</v>
      </c>
      <c r="P57" s="119">
        <f t="shared" ca="1" si="43"/>
        <v>69.848030610975769</v>
      </c>
    </row>
    <row r="58" spans="1:16" ht="21.75" customHeight="1" x14ac:dyDescent="0.4">
      <c r="A58" s="79"/>
      <c r="B58" s="80"/>
      <c r="C58" s="80"/>
      <c r="D58" s="80"/>
      <c r="E58" s="86"/>
      <c r="F58" s="86"/>
      <c r="G58" s="34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Gy89TWty5kAjAO5OL1fLLQ_DL8fVJHFf2LvMm8qymA/edit?usp=sharing"",""รวมเหนือ!L58"")+IMPORTRANGE(""https://docs.google.com/spreadsheets/d/1bWGR5Y7oTgtZIep2hLdTHG-chM0w9aHBSSpJHwm6lak/edit?usp=sharing"",""ร"&amp;"วมตะวันออกเฉียงเหนือ!L58"")+IMPORTRANGE(""https://docs.google.com/spreadsheets/d/1dCxWUCc_SKNp-qd8qsaa5pPX_-BuQqWJ_-8FnsS4Ki0/edit?usp=sharing"",""รวมกลาง!L58"")+IMPORTRANGE(""https://docs.google.com/spreadsheets/d/1uOzBKYgpuhMUe0xXQLXSct3xZ80hakAMJHdGJh9"&amp;"616E/edit?usp=sharing"",""รวมใต้!L58"")"),35304500)</f>
        <v>35304500</v>
      </c>
      <c r="M58" s="41"/>
      <c r="N58" s="38"/>
      <c r="O58" s="119"/>
      <c r="P58" s="119"/>
    </row>
    <row r="59" spans="1:16" ht="21.75" customHeight="1" x14ac:dyDescent="0.4">
      <c r="A59" s="79"/>
      <c r="B59" s="80"/>
      <c r="C59" s="80"/>
      <c r="D59" s="80"/>
      <c r="E59" s="86"/>
      <c r="F59" s="86"/>
      <c r="G59" s="34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Gy89TWty5kAjAO5OL1fLLQ_DL8fVJHFf2LvMm8qymA/edit?usp=sharing"",""รวมเหนือ!L59"")+IMPORTRANGE(""https://docs.google.com/spreadsheets/d/1bWGR5Y7oTgtZIep2hLdTHG-chM0w9aHBSSpJHwm6lak/edit?usp=sharing"",""ร"&amp;"วมตะวันออกเฉียงเหนือ!L59"")+IMPORTRANGE(""https://docs.google.com/spreadsheets/d/1dCxWUCc_SKNp-qd8qsaa5pPX_-BuQqWJ_-8FnsS4Ki0/edit?usp=sharing"",""รวมกลาง!L59"")+IMPORTRANGE(""https://docs.google.com/spreadsheets/d/1uOzBKYgpuhMUe0xXQLXSct3xZ80hakAMJHdGJh9"&amp;"616E/edit?usp=sharing"",""รวมใต้!L59"")"),0)</f>
        <v>0</v>
      </c>
      <c r="M59" s="41"/>
      <c r="N59" s="38"/>
      <c r="O59" s="119"/>
      <c r="P59" s="119"/>
    </row>
    <row r="60" spans="1:16" ht="21.75" customHeight="1" x14ac:dyDescent="0.4">
      <c r="A60" s="79"/>
      <c r="B60" s="80"/>
      <c r="C60" s="81" t="s">
        <v>16</v>
      </c>
      <c r="D60" s="531" t="s">
        <v>23</v>
      </c>
      <c r="E60" s="532"/>
      <c r="F60" s="86"/>
      <c r="G60" s="82" t="s">
        <v>18</v>
      </c>
      <c r="H60" s="83" t="s">
        <v>12</v>
      </c>
      <c r="I60" s="84"/>
      <c r="J60" s="84"/>
      <c r="K60" s="85"/>
      <c r="L60" s="50">
        <f ca="1">IFERROR(__xludf.DUMMYFUNCTION("IMPORTRANGE(""https://docs.google.com/spreadsheets/d/1Yj_ptqi66GCucihVvJfMjLAmec39IyEx_6qawtMGysU/edit?usp=sharing"",""สบก!X15"")"),0)</f>
        <v>0</v>
      </c>
      <c r="M60" s="41"/>
      <c r="N60" s="41">
        <f ca="1">IFERROR(__xludf.DUMMYFUNCTION("IMPORTRANGE(""https://docs.google.com/spreadsheets/d/1Yj_ptqi66GCucihVvJfMjLAmec39IyEx_6qawtMGysU/edit?usp=sharing"",""สบก!AB15"")"),0)</f>
        <v>0</v>
      </c>
      <c r="O60" s="120"/>
      <c r="P60" s="120"/>
    </row>
    <row r="61" spans="1:16" ht="21.75" customHeight="1" x14ac:dyDescent="0.4">
      <c r="A61" s="88"/>
      <c r="B61" s="89"/>
      <c r="C61" s="89"/>
      <c r="D61" s="89"/>
      <c r="E61" s="90"/>
      <c r="F61" s="90"/>
      <c r="G61" s="91" t="s">
        <v>19</v>
      </c>
      <c r="H61" s="92" t="s">
        <v>12</v>
      </c>
      <c r="I61" s="93"/>
      <c r="J61" s="93"/>
      <c r="K61" s="94"/>
      <c r="L61" s="49">
        <f ca="1">IFERROR(__xludf.DUMMYFUNCTION("IMPORTRANGE(""https://docs.google.com/spreadsheets/d/1yGy89TWty5kAjAO5OL1fLLQ_DL8fVJHFf2LvMm8qymA/edit?usp=sharing"",""รวมเหนือ!L61"")+IMPORTRANGE(""https://docs.google.com/spreadsheets/d/1bWGR5Y7oTgtZIep2hLdTHG-chM0w9aHBSSpJHwm6lak/edit?usp=sharing"",""ร"&amp;"วมตะวันออกเฉียงเหนือ!L61"")+IMPORTRANGE(""https://docs.google.com/spreadsheets/d/1dCxWUCc_SKNp-qd8qsaa5pPX_-BuQqWJ_-8FnsS4Ki0/edit?usp=sharing"",""รวมกลาง!L61"")+IMPORTRANGE(""https://docs.google.com/spreadsheets/d/1uOzBKYgpuhMUe0xXQLXSct3xZ80hakAMJHdGJh9"&amp;"616E/edit?usp=sharing"",""รวมใต้!L61"")"),0)</f>
        <v>0</v>
      </c>
      <c r="M61" s="49"/>
      <c r="N61" s="49">
        <f ca="1">IFERROR(__xludf.DUMMYFUNCTION("IMPORTRANGE(""https://docs.google.com/spreadsheets/d/1yGy89TWty5kAjAO5OL1fLLQ_DL8fVJHFf2LvMm8qymA/edit?usp=sharing"",""รวมเหนือ!N61"")+IMPORTRANGE(""https://docs.google.com/spreadsheets/d/1bWGR5Y7oTgtZIep2hLdTHG-chM0w9aHBSSpJHwm6lak/edit?usp=sharing"",""ร"&amp;"วมตะวันออกเฉียงเหนือ!N61"")+IMPORTRANGE(""https://docs.google.com/spreadsheets/d/1dCxWUCc_SKNp-qd8qsaa5pPX_-BuQqWJ_-8FnsS4Ki0/edit?usp=sharing"",""รวมกลาง!N61"")+IMPORTRANGE(""https://docs.google.com/spreadsheets/d/1uOzBKYgpuhMUe0xXQLXSct3xZ80hakAMJHdGJh9"&amp;"616E/edit?usp=sharing"",""รวมใต้!N61"")"),0)</f>
        <v>0</v>
      </c>
      <c r="O61" s="121">
        <f ca="1">IF(L61&gt;0,N61*100/L61,0)</f>
        <v>0</v>
      </c>
      <c r="P61" s="121"/>
    </row>
    <row r="62" spans="1:16" ht="21.75" customHeight="1" x14ac:dyDescent="0.3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3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3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yGy89TWty5kAjAO5OL1fLLQ_DL8fVJHFf2LvMm8qymA/edit?usp=sharing"",""รวมเหนือ!I64"")+IMPORTRANGE(""https://docs.google.com/spreadsheets/d/1bWGR5Y7oTgtZIep2hLdTHG-chM0w9aHBSSpJHwm6lak/edit?usp=sharing"",""ร"&amp;"วมตะวันออกเฉียงเหนือ!I64"")+IMPORTRANGE(""https://docs.google.com/spreadsheets/d/1dCxWUCc_SKNp-qd8qsaa5pPX_-BuQqWJ_-8FnsS4Ki0/edit?usp=sharing"",""รวมกลาง!I64"")+IMPORTRANGE(""https://docs.google.com/spreadsheets/d/1uOzBKYgpuhMUe0xXQLXSct3xZ80hakAMJHdGJh9"&amp;"616E/edit?usp=sharing"",""รวมใต้!I64"")"),40)</f>
        <v>40</v>
      </c>
      <c r="J64" s="142">
        <f ca="1">IFERROR(__xludf.DUMMYFUNCTION("IMPORTRANGE(""https://docs.google.com/spreadsheets/d/1yGy89TWty5kAjAO5OL1fLLQ_DL8fVJHFf2LvMm8qymA/edit?usp=sharing"",""รวมเหนือ!J64"")+IMPORTRANGE(""https://docs.google.com/spreadsheets/d/1bWGR5Y7oTgtZIep2hLdTHG-chM0w9aHBSSpJHwm6lak/edit?usp=sharing"",""ร"&amp;"วมตะวันออกเฉียงเหนือ!J64"")+IMPORTRANGE(""https://docs.google.com/spreadsheets/d/1dCxWUCc_SKNp-qd8qsaa5pPX_-BuQqWJ_-8FnsS4Ki0/edit?usp=sharing"",""รวมกลาง!J64"")+IMPORTRANGE(""https://docs.google.com/spreadsheets/d/1uOzBKYgpuhMUe0xXQLXSct3xZ80hakAMJHdGJh9"&amp;"616E/edit?usp=sharing"",""รวมใต้!J64"")"),40)</f>
        <v>40</v>
      </c>
      <c r="K64" s="143">
        <f t="shared" ref="K64:K65" ca="1" si="46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3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yGy89TWty5kAjAO5OL1fLLQ_DL8fVJHFf2LvMm8qymA/edit?usp=sharing"",""รวมเหนือ!I65"")+IMPORTRANGE(""https://docs.google.com/spreadsheets/d/1bWGR5Y7oTgtZIep2hLdTHG-chM0w9aHBSSpJHwm6lak/edit?usp=sharing"",""ร"&amp;"วมตะวันออกเฉียงเหนือ!I65"")+IMPORTRANGE(""https://docs.google.com/spreadsheets/d/1dCxWUCc_SKNp-qd8qsaa5pPX_-BuQqWJ_-8FnsS4Ki0/edit?usp=sharing"",""รวมกลาง!I65"")+IMPORTRANGE(""https://docs.google.com/spreadsheets/d/1uOzBKYgpuhMUe0xXQLXSct3xZ80hakAMJHdGJh9"&amp;"616E/edit?usp=sharing"",""รวมใต้!I65"")"),1909)</f>
        <v>1909</v>
      </c>
      <c r="J65" s="142">
        <f ca="1">IFERROR(__xludf.DUMMYFUNCTION("IMPORTRANGE(""https://docs.google.com/spreadsheets/d/1yGy89TWty5kAjAO5OL1fLLQ_DL8fVJHFf2LvMm8qymA/edit?usp=sharing"",""รวมเหนือ!J65"")+IMPORTRANGE(""https://docs.google.com/spreadsheets/d/1bWGR5Y7oTgtZIep2hLdTHG-chM0w9aHBSSpJHwm6lak/edit?usp=sharing"",""ร"&amp;"วมตะวันออกเฉียงเหนือ!J65"")+IMPORTRANGE(""https://docs.google.com/spreadsheets/d/1dCxWUCc_SKNp-qd8qsaa5pPX_-BuQqWJ_-8FnsS4Ki0/edit?usp=sharing"",""รวมกลาง!J65"")+IMPORTRANGE(""https://docs.google.com/spreadsheets/d/1uOzBKYgpuhMUe0xXQLXSct3xZ80hakAMJHdGJh9"&amp;"616E/edit?usp=sharing"",""รวมใต้!J65"")"),1909)</f>
        <v>1909</v>
      </c>
      <c r="K65" s="143">
        <f t="shared" ca="1" si="46"/>
        <v>100</v>
      </c>
      <c r="L65" s="145"/>
      <c r="M65" s="145"/>
      <c r="N65" s="145"/>
      <c r="O65" s="143"/>
      <c r="P65" s="143"/>
    </row>
    <row r="66" spans="1:16" ht="21.75" customHeight="1" x14ac:dyDescent="0.4">
      <c r="A66" s="146"/>
      <c r="B66" s="147"/>
      <c r="C66" s="148" t="s">
        <v>16</v>
      </c>
      <c r="D66" s="533" t="s">
        <v>17</v>
      </c>
      <c r="E66" s="534"/>
      <c r="F66" s="534"/>
      <c r="G66" s="534"/>
      <c r="H66" s="149" t="s">
        <v>12</v>
      </c>
      <c r="I66" s="150"/>
      <c r="J66" s="150"/>
      <c r="K66" s="151"/>
      <c r="L66" s="152">
        <f t="shared" ref="L66:N66" ca="1" si="47">L67+L68</f>
        <v>45794400</v>
      </c>
      <c r="M66" s="152">
        <f t="shared" ca="1" si="47"/>
        <v>36850200</v>
      </c>
      <c r="N66" s="152">
        <f t="shared" ca="1" si="47"/>
        <v>22880296.07</v>
      </c>
      <c r="O66" s="151">
        <f t="shared" ref="O66:O68" ca="1" si="48">IF(L66&gt;0,N66*100/L66,0)</f>
        <v>49.963087342557166</v>
      </c>
      <c r="P66" s="151">
        <f t="shared" ref="P66:P70" ca="1" si="49">IF(M66&gt;0,N66*100/M66,0)</f>
        <v>62.090018697320502</v>
      </c>
    </row>
    <row r="67" spans="1:16" ht="21.75" customHeight="1" x14ac:dyDescent="0.4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ca="1" si="50">L69+L73</f>
        <v>10439600</v>
      </c>
      <c r="M67" s="157">
        <f t="shared" ca="1" si="50"/>
        <v>5541720</v>
      </c>
      <c r="N67" s="157">
        <f t="shared" ca="1" si="50"/>
        <v>1884381.66</v>
      </c>
      <c r="O67" s="156">
        <f t="shared" ca="1" si="48"/>
        <v>18.05032434192881</v>
      </c>
      <c r="P67" s="156">
        <f t="shared" ca="1" si="49"/>
        <v>34.003552326714448</v>
      </c>
    </row>
    <row r="68" spans="1:16" ht="21.75" customHeight="1" x14ac:dyDescent="0.4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51">L70+L74</f>
        <v>35354800</v>
      </c>
      <c r="M68" s="157">
        <f t="shared" ca="1" si="51"/>
        <v>31308480</v>
      </c>
      <c r="N68" s="157">
        <f t="shared" ca="1" si="51"/>
        <v>20995914.41</v>
      </c>
      <c r="O68" s="156">
        <f t="shared" ca="1" si="48"/>
        <v>59.386319283378775</v>
      </c>
      <c r="P68" s="156">
        <f t="shared" ca="1" si="49"/>
        <v>67.061430034291035</v>
      </c>
    </row>
    <row r="69" spans="1:16" ht="21.75" customHeight="1" x14ac:dyDescent="0.4">
      <c r="A69" s="158"/>
      <c r="B69" s="159"/>
      <c r="C69" s="159" t="s">
        <v>16</v>
      </c>
      <c r="D69" s="535" t="s">
        <v>20</v>
      </c>
      <c r="E69" s="532"/>
      <c r="F69" s="532"/>
      <c r="G69" s="160" t="s">
        <v>38</v>
      </c>
      <c r="H69" s="161" t="s">
        <v>12</v>
      </c>
      <c r="I69" s="162" t="s">
        <v>39</v>
      </c>
      <c r="J69" s="162"/>
      <c r="K69" s="163"/>
      <c r="L69" s="164">
        <f ca="1">IFERROR(__xludf.DUMMYFUNCTION("IMPORTRANGE(""https://docs.google.com/spreadsheets/d/1Yj_ptqi66GCucihVvJfMjLAmec39IyEx_6qawtMGysU/edit?usp=sharing"",""สบก!AD15"")"),10388600)</f>
        <v>10388600</v>
      </c>
      <c r="M69" s="164">
        <f ca="1">IFERROR(__xludf.DUMMYFUNCTION("IMPORTRANGE(""https://docs.google.com/spreadsheets/d/1Yj_ptqi66GCucihVvJfMjLAmec39IyEx_6qawtMGysU/edit?usp=sharing"",""สบก!AI15"")"),5541720)</f>
        <v>5541720</v>
      </c>
      <c r="N69" s="164">
        <f ca="1">IFERROR(__xludf.DUMMYFUNCTION("IMPORTRANGE(""https://docs.google.com/spreadsheets/d/1Yj_ptqi66GCucihVvJfMjLAmec39IyEx_6qawtMGysU/edit?usp=sharing"",""สบก!AJ15"")"),1884381.66)</f>
        <v>1884381.66</v>
      </c>
      <c r="O69" s="165">
        <f ca="1">+IF(L69&gt;0,N69*100/L69,0)</f>
        <v>18.138937489170821</v>
      </c>
      <c r="P69" s="165">
        <f t="shared" ca="1" si="49"/>
        <v>34.003552326714448</v>
      </c>
    </row>
    <row r="70" spans="1:16" ht="21.75" customHeight="1" x14ac:dyDescent="0.3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8" t="s">
        <v>12</v>
      </c>
      <c r="I70" s="162"/>
      <c r="J70" s="162"/>
      <c r="K70" s="163"/>
      <c r="L70" s="164">
        <f ca="1">IFERROR(__xludf.DUMMYFUNCTION("IMPORTRANGE(""https://docs.google.com/spreadsheets/d/1yGy89TWty5kAjAO5OL1fLLQ_DL8fVJHFf2LvMm8qymA/edit?usp=sharing"",""รวมเหนือ!L70"")+IMPORTRANGE(""https://docs.google.com/spreadsheets/d/1bWGR5Y7oTgtZIep2hLdTHG-chM0w9aHBSSpJHwm6lak/edit?usp=sharing"",""ร"&amp;"วมตะวันออกเฉียงเหนือ!L70"")+IMPORTRANGE(""https://docs.google.com/spreadsheets/d/1dCxWUCc_SKNp-qd8qsaa5pPX_-BuQqWJ_-8FnsS4Ki0/edit?usp=sharing"",""รวมกลาง!L70"")+IMPORTRANGE(""https://docs.google.com/spreadsheets/d/1uOzBKYgpuhMUe0xXQLXSct3xZ80hakAMJHdGJh9"&amp;"616E/edit?usp=sharing"",""รวมใต้!L70"")"),25184100)</f>
        <v>25184100</v>
      </c>
      <c r="M70" s="164">
        <f ca="1">IFERROR(__xludf.DUMMYFUNCTION("IMPORTRANGE(""https://docs.google.com/spreadsheets/d/1yGy89TWty5kAjAO5OL1fLLQ_DL8fVJHFf2LvMm8qymA/edit?usp=sharing"",""รวมเหนือ!M70"")+IMPORTRANGE(""https://docs.google.com/spreadsheets/d/1bWGR5Y7oTgtZIep2hLdTHG-chM0w9aHBSSpJHwm6lak/edit?usp=sharing"",""ร"&amp;"วมตะวันออกเฉียงเหนือ!M70"")+IMPORTRANGE(""https://docs.google.com/spreadsheets/d/1dCxWUCc_SKNp-qd8qsaa5pPX_-BuQqWJ_-8FnsS4Ki0/edit?usp=sharing"",""รวมกลาง!M70"")+IMPORTRANGE(""https://docs.google.com/spreadsheets/d/1uOzBKYgpuhMUe0xXQLXSct3xZ80hakAMJHdGJh9"&amp;"616E/edit?usp=sharing"",""รวมใต้!M70"")"),21137780)</f>
        <v>21137780</v>
      </c>
      <c r="N70" s="165">
        <f ca="1">IFERROR(__xludf.DUMMYFUNCTION("IMPORTRANGE(""https://docs.google.com/spreadsheets/d/1yGy89TWty5kAjAO5OL1fLLQ_DL8fVJHFf2LvMm8qymA/edit?usp=sharing"",""รวมเหนือ!N70"")+IMPORTRANGE(""https://docs.google.com/spreadsheets/d/1bWGR5Y7oTgtZIep2hLdTHG-chM0w9aHBSSpJHwm6lak/edit?usp=sharing"",""ร"&amp;"วมตะวันออกเฉียงเหนือ!N70"")+IMPORTRANGE(""https://docs.google.com/spreadsheets/d/1dCxWUCc_SKNp-qd8qsaa5pPX_-BuQqWJ_-8FnsS4Ki0/edit?usp=sharing"",""รวมกลาง!N70"")+IMPORTRANGE(""https://docs.google.com/spreadsheets/d/1uOzBKYgpuhMUe0xXQLXSct3xZ80hakAMJHdGJh9"&amp;"616E/edit?usp=sharing"",""รวมใต้!N70"")"),11740340.17)</f>
        <v>11740340.17</v>
      </c>
      <c r="O70" s="165">
        <f ca="1">IF(L70&gt;0,N70*100/L70,0)</f>
        <v>46.618065247517279</v>
      </c>
      <c r="P70" s="165">
        <f t="shared" ca="1" si="49"/>
        <v>55.541973518505728</v>
      </c>
    </row>
    <row r="71" spans="1:16" ht="21.75" customHeight="1" x14ac:dyDescent="0.4">
      <c r="A71" s="158"/>
      <c r="B71" s="159"/>
      <c r="C71" s="159"/>
      <c r="D71" s="166"/>
      <c r="E71" s="167"/>
      <c r="F71" s="167"/>
      <c r="G71" s="34" t="s">
        <v>21</v>
      </c>
      <c r="H71" s="168" t="s">
        <v>12</v>
      </c>
      <c r="I71" s="162"/>
      <c r="J71" s="162"/>
      <c r="K71" s="163"/>
      <c r="L71" s="164">
        <f ca="1">IFERROR(__xludf.DUMMYFUNCTION("IMPORTRANGE(""https://docs.google.com/spreadsheets/d/1yGy89TWty5kAjAO5OL1fLLQ_DL8fVJHFf2LvMm8qymA/edit?usp=sharing"",""รวมเหนือ!L71"")+IMPORTRANGE(""https://docs.google.com/spreadsheets/d/1bWGR5Y7oTgtZIep2hLdTHG-chM0w9aHBSSpJHwm6lak/edit?usp=sharing"",""ร"&amp;"วมตะวันออกเฉียงเหนือ!L71"")+IMPORTRANGE(""https://docs.google.com/spreadsheets/d/1dCxWUCc_SKNp-qd8qsaa5pPX_-BuQqWJ_-8FnsS4Ki0/edit?usp=sharing"",""รวมกลาง!L71"")+IMPORTRANGE(""https://docs.google.com/spreadsheets/d/1uOzBKYgpuhMUe0xXQLXSct3xZ80hakAMJHdGJh9"&amp;"616E/edit?usp=sharing"",""รวมใต้!L71"")"),7328300)</f>
        <v>7328300</v>
      </c>
      <c r="M71" s="164"/>
      <c r="N71" s="164"/>
      <c r="O71" s="165"/>
      <c r="P71" s="165"/>
    </row>
    <row r="72" spans="1:16" ht="21.75" customHeight="1" x14ac:dyDescent="0.4">
      <c r="A72" s="158"/>
      <c r="B72" s="159"/>
      <c r="C72" s="159"/>
      <c r="D72" s="166"/>
      <c r="E72" s="167"/>
      <c r="F72" s="167"/>
      <c r="G72" s="34" t="s">
        <v>22</v>
      </c>
      <c r="H72" s="168" t="s">
        <v>12</v>
      </c>
      <c r="I72" s="162"/>
      <c r="J72" s="162"/>
      <c r="K72" s="163"/>
      <c r="L72" s="164">
        <f ca="1">IFERROR(__xludf.DUMMYFUNCTION("IMPORTRANGE(""https://docs.google.com/spreadsheets/d/1yGy89TWty5kAjAO5OL1fLLQ_DL8fVJHFf2LvMm8qymA/edit?usp=sharing"",""รวมเหนือ!L72"")+IMPORTRANGE(""https://docs.google.com/spreadsheets/d/1bWGR5Y7oTgtZIep2hLdTHG-chM0w9aHBSSpJHwm6lak/edit?usp=sharing"",""ร"&amp;"วมตะวันออกเฉียงเหนือ!L72"")+IMPORTRANGE(""https://docs.google.com/spreadsheets/d/1dCxWUCc_SKNp-qd8qsaa5pPX_-BuQqWJ_-8FnsS4Ki0/edit?usp=sharing"",""รวมกลาง!L72"")+IMPORTRANGE(""https://docs.google.com/spreadsheets/d/1uOzBKYgpuhMUe0xXQLXSct3xZ80hakAMJHdGJh9"&amp;"616E/edit?usp=sharing"",""รวมใต้!L72"")"),17855800)</f>
        <v>17855800</v>
      </c>
      <c r="M72" s="164"/>
      <c r="N72" s="164"/>
      <c r="O72" s="165"/>
      <c r="P72" s="165"/>
    </row>
    <row r="73" spans="1:16" ht="21.75" customHeight="1" x14ac:dyDescent="0.4">
      <c r="A73" s="169"/>
      <c r="B73" s="80"/>
      <c r="C73" s="81" t="s">
        <v>16</v>
      </c>
      <c r="D73" s="531" t="s">
        <v>23</v>
      </c>
      <c r="E73" s="532"/>
      <c r="F73" s="86"/>
      <c r="G73" s="82" t="s">
        <v>18</v>
      </c>
      <c r="H73" s="170" t="s">
        <v>12</v>
      </c>
      <c r="I73" s="84"/>
      <c r="J73" s="84"/>
      <c r="K73" s="85"/>
      <c r="L73" s="41">
        <f ca="1">IFERROR(__xludf.DUMMYFUNCTION("IMPORTRANGE(""https://docs.google.com/spreadsheets/d/1Yj_ptqi66GCucihVvJfMjLAmec39IyEx_6qawtMGysU/edit?usp=sharing"",""สบก!AG15"")"),51000)</f>
        <v>51000</v>
      </c>
      <c r="M73" s="41"/>
      <c r="N73" s="41">
        <f ca="1">IFERROR(__xludf.DUMMYFUNCTION("IMPORTRANGE(""https://docs.google.com/spreadsheets/d/1Yj_ptqi66GCucihVvJfMjLAmec39IyEx_6qawtMGysU/edit?usp=sharing"",""สบก!AK15"")"),0)</f>
        <v>0</v>
      </c>
      <c r="O73" s="120"/>
      <c r="P73" s="120"/>
    </row>
    <row r="74" spans="1:16" ht="21.75" customHeight="1" x14ac:dyDescent="0.4">
      <c r="A74" s="171"/>
      <c r="B74" s="89"/>
      <c r="C74" s="89"/>
      <c r="D74" s="172"/>
      <c r="E74" s="90"/>
      <c r="F74" s="90"/>
      <c r="G74" s="91" t="s">
        <v>19</v>
      </c>
      <c r="H74" s="173" t="s">
        <v>12</v>
      </c>
      <c r="I74" s="93"/>
      <c r="J74" s="93"/>
      <c r="K74" s="94"/>
      <c r="L74" s="49">
        <f ca="1">IFERROR(__xludf.DUMMYFUNCTION("IMPORTRANGE(""https://docs.google.com/spreadsheets/d/1yGy89TWty5kAjAO5OL1fLLQ_DL8fVJHFf2LvMm8qymA/edit?usp=sharing"",""รวมเหนือ!L74"")+IMPORTRANGE(""https://docs.google.com/spreadsheets/d/1bWGR5Y7oTgtZIep2hLdTHG-chM0w9aHBSSpJHwm6lak/edit?usp=sharing"",""ร"&amp;"วมตะวันออกเฉียงเหนือ!L74"")+IMPORTRANGE(""https://docs.google.com/spreadsheets/d/1dCxWUCc_SKNp-qd8qsaa5pPX_-BuQqWJ_-8FnsS4Ki0/edit?usp=sharing"",""รวมกลาง!L74"")+IMPORTRANGE(""https://docs.google.com/spreadsheets/d/1uOzBKYgpuhMUe0xXQLXSct3xZ80hakAMJHdGJh9"&amp;"616E/edit?usp=sharing"",""รวมใต้!L74"")"),10170700)</f>
        <v>10170700</v>
      </c>
      <c r="M74" s="49">
        <f ca="1">IFERROR(__xludf.DUMMYFUNCTION("IMPORTRANGE(""https://docs.google.com/spreadsheets/d/1yGy89TWty5kAjAO5OL1fLLQ_DL8fVJHFf2LvMm8qymA/edit?usp=sharing"",""รวมเหนือ!M74"")+IMPORTRANGE(""https://docs.google.com/spreadsheets/d/1bWGR5Y7oTgtZIep2hLdTHG-chM0w9aHBSSpJHwm6lak/edit?usp=sharing"",""ร"&amp;"วมตะวันออกเฉียงเหนือ!M74"")+IMPORTRANGE(""https://docs.google.com/spreadsheets/d/1dCxWUCc_SKNp-qd8qsaa5pPX_-BuQqWJ_-8FnsS4Ki0/edit?usp=sharing"",""รวมกลาง!M74"")+IMPORTRANGE(""https://docs.google.com/spreadsheets/d/1uOzBKYgpuhMUe0xXQLXSct3xZ80hakAMJHdGJh9"&amp;"616E/edit?usp=sharing"",""รวมใต้!M74"")"),10170700)</f>
        <v>10170700</v>
      </c>
      <c r="N74" s="49">
        <f ca="1">IFERROR(__xludf.DUMMYFUNCTION("IMPORTRANGE(""https://docs.google.com/spreadsheets/d/1yGy89TWty5kAjAO5OL1fLLQ_DL8fVJHFf2LvMm8qymA/edit?usp=sharing"",""รวมเหนือ!N74"")+IMPORTRANGE(""https://docs.google.com/spreadsheets/d/1bWGR5Y7oTgtZIep2hLdTHG-chM0w9aHBSSpJHwm6lak/edit?usp=sharing"",""ร"&amp;"วมตะวันออกเฉียงเหนือ!N74"")+IMPORTRANGE(""https://docs.google.com/spreadsheets/d/1dCxWUCc_SKNp-qd8qsaa5pPX_-BuQqWJ_-8FnsS4Ki0/edit?usp=sharing"",""รวมกลาง!N74"")+IMPORTRANGE(""https://docs.google.com/spreadsheets/d/1uOzBKYgpuhMUe0xXQLXSct3xZ80hakAMJHdGJh9"&amp;"616E/edit?usp=sharing"",""รวมใต้!N74"")"),9255574.24)</f>
        <v>9255574.2400000002</v>
      </c>
      <c r="O74" s="121">
        <f ca="1">IF(L74&gt;0,N74*100/L74,0)</f>
        <v>91.002332582811405</v>
      </c>
      <c r="P74" s="121">
        <f ca="1">IF(M74&gt;0,N74*100/M74,0)</f>
        <v>91.002332582811405</v>
      </c>
    </row>
    <row r="75" spans="1:16" ht="21.75" customHeight="1" x14ac:dyDescent="0.3">
      <c r="A75" s="174"/>
      <c r="B75" s="175"/>
      <c r="C75" s="159" t="s">
        <v>16</v>
      </c>
      <c r="D75" s="176" t="s">
        <v>41</v>
      </c>
      <c r="E75" s="177"/>
      <c r="F75" s="177"/>
      <c r="G75" s="178"/>
      <c r="H75" s="179"/>
      <c r="I75" s="162"/>
      <c r="J75" s="162"/>
      <c r="K75" s="163"/>
      <c r="L75" s="180"/>
      <c r="M75" s="180"/>
      <c r="N75" s="180"/>
      <c r="O75" s="180"/>
      <c r="P75" s="180"/>
    </row>
    <row r="76" spans="1:16" ht="21.75" customHeight="1" x14ac:dyDescent="0.3">
      <c r="A76" s="174"/>
      <c r="B76" s="175"/>
      <c r="C76" s="175"/>
      <c r="D76" s="181">
        <v>1</v>
      </c>
      <c r="E76" s="182" t="s">
        <v>42</v>
      </c>
      <c r="F76" s="183"/>
      <c r="G76" s="184"/>
      <c r="H76" s="185"/>
      <c r="I76" s="186"/>
      <c r="J76" s="187">
        <f ca="1">IFERROR(__xludf.DUMMYFUNCTION("IMPORTRANGE(""https://docs.google.com/spreadsheets/d/1yGy89TWty5kAjAO5OL1fLLQ_DL8fVJHFf2LvMm8qymA/edit?usp=sharing"",""รวมเหนือ!J76"")+IMPORTRANGE(""https://docs.google.com/spreadsheets/d/1bWGR5Y7oTgtZIep2hLdTHG-chM0w9aHBSSpJHwm6lak/edit?usp=sharing"",""ร"&amp;"วมตะวันออกเฉียงเหนือ!J76"")+IMPORTRANGE(""https://docs.google.com/spreadsheets/d/1dCxWUCc_SKNp-qd8qsaa5pPX_-BuQqWJ_-8FnsS4Ki0/edit?usp=sharing"",""รวมกลาง!J76"")+IMPORTRANGE(""https://docs.google.com/spreadsheets/d/1uOzBKYgpuhMUe0xXQLXSct3xZ80hakAMJHdGJh9"&amp;"616E/edit?usp=sharing"",""รวมใต้!J76"")"),0)</f>
        <v>0</v>
      </c>
      <c r="K76" s="163"/>
      <c r="L76" s="180"/>
      <c r="M76" s="180"/>
      <c r="N76" s="180"/>
      <c r="O76" s="180"/>
      <c r="P76" s="180"/>
    </row>
    <row r="77" spans="1:16" ht="21.75" customHeight="1" x14ac:dyDescent="0.3">
      <c r="A77" s="174"/>
      <c r="B77" s="175"/>
      <c r="C77" s="175"/>
      <c r="D77" s="188">
        <v>2</v>
      </c>
      <c r="E77" s="189" t="s">
        <v>43</v>
      </c>
      <c r="F77" s="190"/>
      <c r="G77" s="191"/>
      <c r="H77" s="185"/>
      <c r="I77" s="186"/>
      <c r="J77" s="187">
        <f ca="1">IFERROR(__xludf.DUMMYFUNCTION("IMPORTRANGE(""https://docs.google.com/spreadsheets/d/1yGy89TWty5kAjAO5OL1fLLQ_DL8fVJHFf2LvMm8qymA/edit?usp=sharing"",""รวมเหนือ!J77"")+IMPORTRANGE(""https://docs.google.com/spreadsheets/d/1bWGR5Y7oTgtZIep2hLdTHG-chM0w9aHBSSpJHwm6lak/edit?usp=sharing"",""ร"&amp;"วมตะวันออกเฉียงเหนือ!J77"")+IMPORTRANGE(""https://docs.google.com/spreadsheets/d/1dCxWUCc_SKNp-qd8qsaa5pPX_-BuQqWJ_-8FnsS4Ki0/edit?usp=sharing"",""รวมกลาง!J77"")+IMPORTRANGE(""https://docs.google.com/spreadsheets/d/1uOzBKYgpuhMUe0xXQLXSct3xZ80hakAMJHdGJh9"&amp;"616E/edit?usp=sharing"",""รวมใต้!J77"")"),32)</f>
        <v>32</v>
      </c>
      <c r="K77" s="163"/>
      <c r="L77" s="180" t="s">
        <v>39</v>
      </c>
      <c r="M77" s="180"/>
      <c r="N77" s="180" t="s">
        <v>39</v>
      </c>
      <c r="O77" s="180"/>
      <c r="P77" s="180"/>
    </row>
    <row r="78" spans="1:16" ht="21.75" customHeight="1" x14ac:dyDescent="0.3">
      <c r="A78" s="174"/>
      <c r="B78" s="175"/>
      <c r="C78" s="175"/>
      <c r="D78" s="192"/>
      <c r="E78" s="193" t="s">
        <v>44</v>
      </c>
      <c r="F78" s="194"/>
      <c r="G78" s="195"/>
      <c r="H78" s="185"/>
      <c r="I78" s="186"/>
      <c r="J78" s="187">
        <f ca="1">IFERROR(__xludf.DUMMYFUNCTION("IMPORTRANGE(""https://docs.google.com/spreadsheets/d/1yGy89TWty5kAjAO5OL1fLLQ_DL8fVJHFf2LvMm8qymA/edit?usp=sharing"",""รวมเหนือ!J78"")+IMPORTRANGE(""https://docs.google.com/spreadsheets/d/1bWGR5Y7oTgtZIep2hLdTHG-chM0w9aHBSSpJHwm6lak/edit?usp=sharing"",""ร"&amp;"วมตะวันออกเฉียงเหนือ!J78"")+IMPORTRANGE(""https://docs.google.com/spreadsheets/d/1dCxWUCc_SKNp-qd8qsaa5pPX_-BuQqWJ_-8FnsS4Ki0/edit?usp=sharing"",""รวมกลาง!J78"")+IMPORTRANGE(""https://docs.google.com/spreadsheets/d/1uOzBKYgpuhMUe0xXQLXSct3xZ80hakAMJHdGJh9"&amp;"616E/edit?usp=sharing"",""รวมใต้!J78"")"),32)</f>
        <v>32</v>
      </c>
      <c r="K78" s="163"/>
      <c r="L78" s="180"/>
      <c r="M78" s="180"/>
      <c r="N78" s="180"/>
      <c r="O78" s="180"/>
      <c r="P78" s="180"/>
    </row>
    <row r="79" spans="1:16" ht="21.75" customHeight="1" x14ac:dyDescent="0.3">
      <c r="A79" s="174"/>
      <c r="B79" s="175"/>
      <c r="C79" s="175"/>
      <c r="D79" s="192"/>
      <c r="E79" s="193" t="s">
        <v>45</v>
      </c>
      <c r="F79" s="194"/>
      <c r="G79" s="195"/>
      <c r="H79" s="185"/>
      <c r="I79" s="186"/>
      <c r="J79" s="186">
        <f ca="1">IFERROR(__xludf.DUMMYFUNCTION("IMPORTRANGE(""https://docs.google.com/spreadsheets/d/1yGy89TWty5kAjAO5OL1fLLQ_DL8fVJHFf2LvMm8qymA/edit?usp=sharing"",""รวมเหนือ!J79"")+IMPORTRANGE(""https://docs.google.com/spreadsheets/d/1bWGR5Y7oTgtZIep2hLdTHG-chM0w9aHBSSpJHwm6lak/edit?usp=sharing"",""ร"&amp;"วมตะวันออกเฉียงเหนือ!J79"")+IMPORTRANGE(""https://docs.google.com/spreadsheets/d/1dCxWUCc_SKNp-qd8qsaa5pPX_-BuQqWJ_-8FnsS4Ki0/edit?usp=sharing"",""รวมกลาง!J79"")+IMPORTRANGE(""https://docs.google.com/spreadsheets/d/1uOzBKYgpuhMUe0xXQLXSct3xZ80hakAMJHdGJh9"&amp;"616E/edit?usp=sharing"",""รวมใต้!J79"")"),32)</f>
        <v>32</v>
      </c>
      <c r="K79" s="163"/>
      <c r="L79" s="180"/>
      <c r="M79" s="180"/>
      <c r="N79" s="180"/>
      <c r="O79" s="180"/>
      <c r="P79" s="180"/>
    </row>
    <row r="80" spans="1:16" ht="21.75" customHeight="1" x14ac:dyDescent="0.3">
      <c r="A80" s="174"/>
      <c r="B80" s="175"/>
      <c r="C80" s="175"/>
      <c r="D80" s="192"/>
      <c r="E80" s="196"/>
      <c r="F80" s="193" t="s">
        <v>46</v>
      </c>
      <c r="G80" s="194"/>
      <c r="H80" s="197" t="s">
        <v>36</v>
      </c>
      <c r="I80" s="198">
        <f ca="1">IFERROR(__xludf.DUMMYFUNCTION("IMPORTRANGE(""https://docs.google.com/spreadsheets/d/1yGy89TWty5kAjAO5OL1fLLQ_DL8fVJHFf2LvMm8qymA/edit?usp=sharing"",""รวมเหนือ!I80"")+IMPORTRANGE(""https://docs.google.com/spreadsheets/d/1bWGR5Y7oTgtZIep2hLdTHG-chM0w9aHBSSpJHwm6lak/edit?usp=sharing"",""ร"&amp;"วมตะวันออกเฉียงเหนือ!I80"")+IMPORTRANGE(""https://docs.google.com/spreadsheets/d/1dCxWUCc_SKNp-qd8qsaa5pPX_-BuQqWJ_-8FnsS4Ki0/edit?usp=sharing"",""รวมกลาง!I80"")+IMPORTRANGE(""https://docs.google.com/spreadsheets/d/1uOzBKYgpuhMUe0xXQLXSct3xZ80hakAMJHdGJh9"&amp;"616E/edit?usp=sharing"",""รวมใต้!I80"")"),40)</f>
        <v>40</v>
      </c>
      <c r="J80" s="198">
        <f ca="1">IFERROR(__xludf.DUMMYFUNCTION("IMPORTRANGE(""https://docs.google.com/spreadsheets/d/1yGy89TWty5kAjAO5OL1fLLQ_DL8fVJHFf2LvMm8qymA/edit?usp=sharing"",""รวมเหนือ!J80"")+IMPORTRANGE(""https://docs.google.com/spreadsheets/d/1bWGR5Y7oTgtZIep2hLdTHG-chM0w9aHBSSpJHwm6lak/edit?usp=sharing"",""ร"&amp;"วมตะวันออกเฉียงเหนือ!J80"")+IMPORTRANGE(""https://docs.google.com/spreadsheets/d/1dCxWUCc_SKNp-qd8qsaa5pPX_-BuQqWJ_-8FnsS4Ki0/edit?usp=sharing"",""รวมกลาง!J80"")+IMPORTRANGE(""https://docs.google.com/spreadsheets/d/1uOzBKYgpuhMUe0xXQLXSct3xZ80hakAMJHdGJh9"&amp;"616E/edit?usp=sharing"",""รวมใต้!J80"")"),40)</f>
        <v>40</v>
      </c>
      <c r="K80" s="199">
        <f t="shared" ref="K80:K88" ca="1" si="52">IF(I80&gt;0,J80*100/I80,0)</f>
        <v>100</v>
      </c>
      <c r="L80" s="180"/>
      <c r="M80" s="180"/>
      <c r="N80" s="180"/>
      <c r="O80" s="180"/>
      <c r="P80" s="180"/>
    </row>
    <row r="81" spans="1:16" ht="21.75" customHeight="1" x14ac:dyDescent="0.3">
      <c r="A81" s="174"/>
      <c r="B81" s="175"/>
      <c r="C81" s="175"/>
      <c r="D81" s="192"/>
      <c r="E81" s="196"/>
      <c r="F81" s="194"/>
      <c r="G81" s="195"/>
      <c r="H81" s="197" t="s">
        <v>37</v>
      </c>
      <c r="I81" s="198">
        <f ca="1">IFERROR(__xludf.DUMMYFUNCTION("IMPORTRANGE(""https://docs.google.com/spreadsheets/d/1yGy89TWty5kAjAO5OL1fLLQ_DL8fVJHFf2LvMm8qymA/edit?usp=sharing"",""รวมเหนือ!I81"")+IMPORTRANGE(""https://docs.google.com/spreadsheets/d/1bWGR5Y7oTgtZIep2hLdTHG-chM0w9aHBSSpJHwm6lak/edit?usp=sharing"",""ร"&amp;"วมตะวันออกเฉียงเหนือ!I81"")+IMPORTRANGE(""https://docs.google.com/spreadsheets/d/1dCxWUCc_SKNp-qd8qsaa5pPX_-BuQqWJ_-8FnsS4Ki0/edit?usp=sharing"",""รวมกลาง!I81"")+IMPORTRANGE(""https://docs.google.com/spreadsheets/d/1uOzBKYgpuhMUe0xXQLXSct3xZ80hakAMJHdGJh9"&amp;"616E/edit?usp=sharing"",""รวมใต้!I81"")"),1909)</f>
        <v>1909</v>
      </c>
      <c r="J81" s="198">
        <f ca="1">IFERROR(__xludf.DUMMYFUNCTION("IMPORTRANGE(""https://docs.google.com/spreadsheets/d/1yGy89TWty5kAjAO5OL1fLLQ_DL8fVJHFf2LvMm8qymA/edit?usp=sharing"",""รวมเหนือ!J81"")+IMPORTRANGE(""https://docs.google.com/spreadsheets/d/1bWGR5Y7oTgtZIep2hLdTHG-chM0w9aHBSSpJHwm6lak/edit?usp=sharing"",""ร"&amp;"วมตะวันออกเฉียงเหนือ!J81"")+IMPORTRANGE(""https://docs.google.com/spreadsheets/d/1dCxWUCc_SKNp-qd8qsaa5pPX_-BuQqWJ_-8FnsS4Ki0/edit?usp=sharing"",""รวมกลาง!J81"")+IMPORTRANGE(""https://docs.google.com/spreadsheets/d/1uOzBKYgpuhMUe0xXQLXSct3xZ80hakAMJHdGJh9"&amp;"616E/edit?usp=sharing"",""รวมใต้!J81"")"),1909)</f>
        <v>1909</v>
      </c>
      <c r="K81" s="199">
        <f t="shared" ca="1" si="52"/>
        <v>100</v>
      </c>
      <c r="L81" s="180"/>
      <c r="M81" s="180"/>
      <c r="N81" s="180"/>
      <c r="O81" s="180"/>
      <c r="P81" s="180"/>
    </row>
    <row r="82" spans="1:16" ht="21.75" customHeight="1" x14ac:dyDescent="0.3">
      <c r="A82" s="174"/>
      <c r="B82" s="175"/>
      <c r="C82" s="175"/>
      <c r="D82" s="192"/>
      <c r="E82" s="196"/>
      <c r="F82" s="194"/>
      <c r="G82" s="194" t="s">
        <v>47</v>
      </c>
      <c r="H82" s="179" t="s">
        <v>36</v>
      </c>
      <c r="I82" s="200">
        <f ca="1">IFERROR(__xludf.DUMMYFUNCTION("IMPORTRANGE(""https://docs.google.com/spreadsheets/d/1yGy89TWty5kAjAO5OL1fLLQ_DL8fVJHFf2LvMm8qymA/edit?usp=sharing"",""รวมเหนือ!I82"")+IMPORTRANGE(""https://docs.google.com/spreadsheets/d/1bWGR5Y7oTgtZIep2hLdTHG-chM0w9aHBSSpJHwm6lak/edit?usp=sharing"",""ร"&amp;"วมตะวันออกเฉียงเหนือ!I82"")+IMPORTRANGE(""https://docs.google.com/spreadsheets/d/1dCxWUCc_SKNp-qd8qsaa5pPX_-BuQqWJ_-8FnsS4Ki0/edit?usp=sharing"",""รวมกลาง!I82"")+IMPORTRANGE(""https://docs.google.com/spreadsheets/d/1uOzBKYgpuhMUe0xXQLXSct3xZ80hakAMJHdGJh9"&amp;"616E/edit?usp=sharing"",""รวมใต้!I82"")"),13)</f>
        <v>13</v>
      </c>
      <c r="J82" s="187">
        <f ca="1">IFERROR(__xludf.DUMMYFUNCTION("IMPORTRANGE(""https://docs.google.com/spreadsheets/d/1yGy89TWty5kAjAO5OL1fLLQ_DL8fVJHFf2LvMm8qymA/edit?usp=sharing"",""รวมเหนือ!J82"")+IMPORTRANGE(""https://docs.google.com/spreadsheets/d/1bWGR5Y7oTgtZIep2hLdTHG-chM0w9aHBSSpJHwm6lak/edit?usp=sharing"",""ร"&amp;"วมตะวันออกเฉียงเหนือ!J82"")+IMPORTRANGE(""https://docs.google.com/spreadsheets/d/1dCxWUCc_SKNp-qd8qsaa5pPX_-BuQqWJ_-8FnsS4Ki0/edit?usp=sharing"",""รวมกลาง!J82"")+IMPORTRANGE(""https://docs.google.com/spreadsheets/d/1uOzBKYgpuhMUe0xXQLXSct3xZ80hakAMJHdGJh9"&amp;"616E/edit?usp=sharing"",""รวมใต้!J82"")"),13)</f>
        <v>13</v>
      </c>
      <c r="K82" s="163">
        <f t="shared" ca="1" si="52"/>
        <v>100</v>
      </c>
      <c r="L82" s="180"/>
      <c r="M82" s="180"/>
      <c r="N82" s="180"/>
      <c r="O82" s="180"/>
      <c r="P82" s="180"/>
    </row>
    <row r="83" spans="1:16" ht="21.75" customHeight="1" x14ac:dyDescent="0.3">
      <c r="A83" s="174"/>
      <c r="B83" s="175"/>
      <c r="C83" s="175"/>
      <c r="D83" s="192"/>
      <c r="E83" s="196"/>
      <c r="F83" s="194"/>
      <c r="G83" s="195"/>
      <c r="H83" s="179" t="s">
        <v>37</v>
      </c>
      <c r="I83" s="200">
        <f ca="1">IFERROR(__xludf.DUMMYFUNCTION("IMPORTRANGE(""https://docs.google.com/spreadsheets/d/1yGy89TWty5kAjAO5OL1fLLQ_DL8fVJHFf2LvMm8qymA/edit?usp=sharing"",""รวมเหนือ!I83"")+IMPORTRANGE(""https://docs.google.com/spreadsheets/d/1bWGR5Y7oTgtZIep2hLdTHG-chM0w9aHBSSpJHwm6lak/edit?usp=sharing"",""ร"&amp;"วมตะวันออกเฉียงเหนือ!I83"")+IMPORTRANGE(""https://docs.google.com/spreadsheets/d/1dCxWUCc_SKNp-qd8qsaa5pPX_-BuQqWJ_-8FnsS4Ki0/edit?usp=sharing"",""รวมกลาง!I83"")+IMPORTRANGE(""https://docs.google.com/spreadsheets/d/1uOzBKYgpuhMUe0xXQLXSct3xZ80hakAMJHdGJh9"&amp;"616E/edit?usp=sharing"",""รวมใต้!I83"")"),605)</f>
        <v>605</v>
      </c>
      <c r="J83" s="187">
        <f ca="1">IFERROR(__xludf.DUMMYFUNCTION("IMPORTRANGE(""https://docs.google.com/spreadsheets/d/1yGy89TWty5kAjAO5OL1fLLQ_DL8fVJHFf2LvMm8qymA/edit?usp=sharing"",""รวมเหนือ!J83"")+IMPORTRANGE(""https://docs.google.com/spreadsheets/d/1bWGR5Y7oTgtZIep2hLdTHG-chM0w9aHBSSpJHwm6lak/edit?usp=sharing"",""ร"&amp;"วมตะวันออกเฉียงเหนือ!J83"")+IMPORTRANGE(""https://docs.google.com/spreadsheets/d/1dCxWUCc_SKNp-qd8qsaa5pPX_-BuQqWJ_-8FnsS4Ki0/edit?usp=sharing"",""รวมกลาง!J83"")+IMPORTRANGE(""https://docs.google.com/spreadsheets/d/1uOzBKYgpuhMUe0xXQLXSct3xZ80hakAMJHdGJh9"&amp;"616E/edit?usp=sharing"",""รวมใต้!J83"")"),605)</f>
        <v>605</v>
      </c>
      <c r="K83" s="163">
        <f t="shared" ca="1" si="52"/>
        <v>100</v>
      </c>
      <c r="L83" s="180"/>
      <c r="M83" s="180"/>
      <c r="N83" s="180"/>
      <c r="O83" s="180"/>
      <c r="P83" s="180"/>
    </row>
    <row r="84" spans="1:16" ht="21.75" customHeight="1" x14ac:dyDescent="0.3">
      <c r="A84" s="174"/>
      <c r="B84" s="175"/>
      <c r="C84" s="175"/>
      <c r="D84" s="192"/>
      <c r="E84" s="196"/>
      <c r="F84" s="194"/>
      <c r="G84" s="194" t="s">
        <v>48</v>
      </c>
      <c r="H84" s="179" t="s">
        <v>36</v>
      </c>
      <c r="I84" s="200">
        <f ca="1">IFERROR(__xludf.DUMMYFUNCTION("IMPORTRANGE(""https://docs.google.com/spreadsheets/d/1yGy89TWty5kAjAO5OL1fLLQ_DL8fVJHFf2LvMm8qymA/edit?usp=sharing"",""รวมเหนือ!I84"")+IMPORTRANGE(""https://docs.google.com/spreadsheets/d/1bWGR5Y7oTgtZIep2hLdTHG-chM0w9aHBSSpJHwm6lak/edit?usp=sharing"",""ร"&amp;"วมตะวันออกเฉียงเหนือ!I84"")+IMPORTRANGE(""https://docs.google.com/spreadsheets/d/1dCxWUCc_SKNp-qd8qsaa5pPX_-BuQqWJ_-8FnsS4Ki0/edit?usp=sharing"",""รวมกลาง!I84"")+IMPORTRANGE(""https://docs.google.com/spreadsheets/d/1uOzBKYgpuhMUe0xXQLXSct3xZ80hakAMJHdGJh9"&amp;"616E/edit?usp=sharing"",""รวมใต้!I84"")"),14)</f>
        <v>14</v>
      </c>
      <c r="J84" s="187">
        <f ca="1">IFERROR(__xludf.DUMMYFUNCTION("IMPORTRANGE(""https://docs.google.com/spreadsheets/d/1yGy89TWty5kAjAO5OL1fLLQ_DL8fVJHFf2LvMm8qymA/edit?usp=sharing"",""รวมเหนือ!J84"")+IMPORTRANGE(""https://docs.google.com/spreadsheets/d/1bWGR5Y7oTgtZIep2hLdTHG-chM0w9aHBSSpJHwm6lak/edit?usp=sharing"",""ร"&amp;"วมตะวันออกเฉียงเหนือ!J84"")+IMPORTRANGE(""https://docs.google.com/spreadsheets/d/1dCxWUCc_SKNp-qd8qsaa5pPX_-BuQqWJ_-8FnsS4Ki0/edit?usp=sharing"",""รวมกลาง!J84"")+IMPORTRANGE(""https://docs.google.com/spreadsheets/d/1uOzBKYgpuhMUe0xXQLXSct3xZ80hakAMJHdGJh9"&amp;"616E/edit?usp=sharing"",""รวมใต้!J84"")"),14)</f>
        <v>14</v>
      </c>
      <c r="K84" s="163">
        <f t="shared" ca="1" si="52"/>
        <v>100</v>
      </c>
      <c r="L84" s="180"/>
      <c r="M84" s="180"/>
      <c r="N84" s="180"/>
      <c r="O84" s="180"/>
      <c r="P84" s="180"/>
    </row>
    <row r="85" spans="1:16" ht="21.75" customHeight="1" x14ac:dyDescent="0.3">
      <c r="A85" s="174"/>
      <c r="B85" s="175"/>
      <c r="C85" s="175"/>
      <c r="D85" s="192"/>
      <c r="E85" s="196"/>
      <c r="F85" s="194"/>
      <c r="G85" s="195"/>
      <c r="H85" s="179" t="s">
        <v>37</v>
      </c>
      <c r="I85" s="200">
        <f ca="1">IFERROR(__xludf.DUMMYFUNCTION("IMPORTRANGE(""https://docs.google.com/spreadsheets/d/1yGy89TWty5kAjAO5OL1fLLQ_DL8fVJHFf2LvMm8qymA/edit?usp=sharing"",""รวมเหนือ!I85"")+IMPORTRANGE(""https://docs.google.com/spreadsheets/d/1bWGR5Y7oTgtZIep2hLdTHG-chM0w9aHBSSpJHwm6lak/edit?usp=sharing"",""ร"&amp;"วมตะวันออกเฉียงเหนือ!I85"")+IMPORTRANGE(""https://docs.google.com/spreadsheets/d/1dCxWUCc_SKNp-qd8qsaa5pPX_-BuQqWJ_-8FnsS4Ki0/edit?usp=sharing"",""รวมกลาง!I85"")+IMPORTRANGE(""https://docs.google.com/spreadsheets/d/1uOzBKYgpuhMUe0xXQLXSct3xZ80hakAMJHdGJh9"&amp;"616E/edit?usp=sharing"",""รวมใต้!I85"")"),683)</f>
        <v>683</v>
      </c>
      <c r="J85" s="187">
        <f ca="1">IFERROR(__xludf.DUMMYFUNCTION("IMPORTRANGE(""https://docs.google.com/spreadsheets/d/1yGy89TWty5kAjAO5OL1fLLQ_DL8fVJHFf2LvMm8qymA/edit?usp=sharing"",""รวมเหนือ!J85"")+IMPORTRANGE(""https://docs.google.com/spreadsheets/d/1bWGR5Y7oTgtZIep2hLdTHG-chM0w9aHBSSpJHwm6lak/edit?usp=sharing"",""ร"&amp;"วมตะวันออกเฉียงเหนือ!J85"")+IMPORTRANGE(""https://docs.google.com/spreadsheets/d/1dCxWUCc_SKNp-qd8qsaa5pPX_-BuQqWJ_-8FnsS4Ki0/edit?usp=sharing"",""รวมกลาง!J85"")+IMPORTRANGE(""https://docs.google.com/spreadsheets/d/1uOzBKYgpuhMUe0xXQLXSct3xZ80hakAMJHdGJh9"&amp;"616E/edit?usp=sharing"",""รวมใต้!J85"")"),683)</f>
        <v>683</v>
      </c>
      <c r="K85" s="163">
        <f t="shared" ca="1" si="52"/>
        <v>100</v>
      </c>
      <c r="L85" s="180"/>
      <c r="M85" s="180"/>
      <c r="N85" s="180"/>
      <c r="O85" s="180"/>
      <c r="P85" s="180"/>
    </row>
    <row r="86" spans="1:16" ht="21.75" customHeight="1" x14ac:dyDescent="0.3">
      <c r="A86" s="174"/>
      <c r="B86" s="175"/>
      <c r="C86" s="175"/>
      <c r="D86" s="192"/>
      <c r="E86" s="196"/>
      <c r="F86" s="194"/>
      <c r="G86" s="194" t="s">
        <v>49</v>
      </c>
      <c r="H86" s="179" t="s">
        <v>36</v>
      </c>
      <c r="I86" s="200">
        <f ca="1">IFERROR(__xludf.DUMMYFUNCTION("IMPORTRANGE(""https://docs.google.com/spreadsheets/d/1yGy89TWty5kAjAO5OL1fLLQ_DL8fVJHFf2LvMm8qymA/edit?usp=sharing"",""รวมเหนือ!I86"")+IMPORTRANGE(""https://docs.google.com/spreadsheets/d/1bWGR5Y7oTgtZIep2hLdTHG-chM0w9aHBSSpJHwm6lak/edit?usp=sharing"",""ร"&amp;"วมตะวันออกเฉียงเหนือ!I86"")+IMPORTRANGE(""https://docs.google.com/spreadsheets/d/1dCxWUCc_SKNp-qd8qsaa5pPX_-BuQqWJ_-8FnsS4Ki0/edit?usp=sharing"",""รวมกลาง!I86"")+IMPORTRANGE(""https://docs.google.com/spreadsheets/d/1uOzBKYgpuhMUe0xXQLXSct3xZ80hakAMJHdGJh9"&amp;"616E/edit?usp=sharing"",""รวมใต้!I86"")"),13)</f>
        <v>13</v>
      </c>
      <c r="J86" s="187">
        <f ca="1">IFERROR(__xludf.DUMMYFUNCTION("IMPORTRANGE(""https://docs.google.com/spreadsheets/d/1yGy89TWty5kAjAO5OL1fLLQ_DL8fVJHFf2LvMm8qymA/edit?usp=sharing"",""รวมเหนือ!J86"")+IMPORTRANGE(""https://docs.google.com/spreadsheets/d/1bWGR5Y7oTgtZIep2hLdTHG-chM0w9aHBSSpJHwm6lak/edit?usp=sharing"",""ร"&amp;"วมตะวันออกเฉียงเหนือ!J86"")+IMPORTRANGE(""https://docs.google.com/spreadsheets/d/1dCxWUCc_SKNp-qd8qsaa5pPX_-BuQqWJ_-8FnsS4Ki0/edit?usp=sharing"",""รวมกลาง!J86"")+IMPORTRANGE(""https://docs.google.com/spreadsheets/d/1uOzBKYgpuhMUe0xXQLXSct3xZ80hakAMJHdGJh9"&amp;"616E/edit?usp=sharing"",""รวมใต้!J86"")"),13)</f>
        <v>13</v>
      </c>
      <c r="K86" s="163">
        <f t="shared" ca="1" si="52"/>
        <v>100</v>
      </c>
      <c r="L86" s="180"/>
      <c r="M86" s="180"/>
      <c r="N86" s="180"/>
      <c r="O86" s="180"/>
      <c r="P86" s="180"/>
    </row>
    <row r="87" spans="1:16" ht="21.75" customHeight="1" x14ac:dyDescent="0.3">
      <c r="A87" s="174"/>
      <c r="B87" s="175"/>
      <c r="C87" s="175"/>
      <c r="D87" s="192"/>
      <c r="E87" s="196"/>
      <c r="F87" s="194"/>
      <c r="G87" s="195"/>
      <c r="H87" s="179" t="s">
        <v>37</v>
      </c>
      <c r="I87" s="200">
        <f ca="1">IFERROR(__xludf.DUMMYFUNCTION("IMPORTRANGE(""https://docs.google.com/spreadsheets/d/1yGy89TWty5kAjAO5OL1fLLQ_DL8fVJHFf2LvMm8qymA/edit?usp=sharing"",""รวมเหนือ!I87"")+IMPORTRANGE(""https://docs.google.com/spreadsheets/d/1bWGR5Y7oTgtZIep2hLdTHG-chM0w9aHBSSpJHwm6lak/edit?usp=sharing"",""ร"&amp;"วมตะวันออกเฉียงเหนือ!I87"")+IMPORTRANGE(""https://docs.google.com/spreadsheets/d/1dCxWUCc_SKNp-qd8qsaa5pPX_-BuQqWJ_-8FnsS4Ki0/edit?usp=sharing"",""รวมกลาง!I87"")+IMPORTRANGE(""https://docs.google.com/spreadsheets/d/1uOzBKYgpuhMUe0xXQLXSct3xZ80hakAMJHdGJh9"&amp;"616E/edit?usp=sharing"",""รวมใต้!I87"")"),621)</f>
        <v>621</v>
      </c>
      <c r="J87" s="187">
        <f ca="1">IFERROR(__xludf.DUMMYFUNCTION("IMPORTRANGE(""https://docs.google.com/spreadsheets/d/1yGy89TWty5kAjAO5OL1fLLQ_DL8fVJHFf2LvMm8qymA/edit?usp=sharing"",""รวมเหนือ!J87"")+IMPORTRANGE(""https://docs.google.com/spreadsheets/d/1bWGR5Y7oTgtZIep2hLdTHG-chM0w9aHBSSpJHwm6lak/edit?usp=sharing"",""ร"&amp;"วมตะวันออกเฉียงเหนือ!J87"")+IMPORTRANGE(""https://docs.google.com/spreadsheets/d/1dCxWUCc_SKNp-qd8qsaa5pPX_-BuQqWJ_-8FnsS4Ki0/edit?usp=sharing"",""รวมกลาง!J87"")+IMPORTRANGE(""https://docs.google.com/spreadsheets/d/1uOzBKYgpuhMUe0xXQLXSct3xZ80hakAMJHdGJh9"&amp;"616E/edit?usp=sharing"",""รวมใต้!J87"")"),621)</f>
        <v>621</v>
      </c>
      <c r="K87" s="163">
        <f t="shared" ca="1" si="52"/>
        <v>100</v>
      </c>
      <c r="L87" s="180"/>
      <c r="M87" s="180"/>
      <c r="N87" s="180"/>
      <c r="O87" s="180"/>
      <c r="P87" s="180"/>
    </row>
    <row r="88" spans="1:16" ht="21.75" customHeight="1" x14ac:dyDescent="0.3">
      <c r="A88" s="174"/>
      <c r="B88" s="175"/>
      <c r="C88" s="175"/>
      <c r="D88" s="192"/>
      <c r="E88" s="196"/>
      <c r="F88" s="201" t="s">
        <v>50</v>
      </c>
      <c r="G88" s="194"/>
      <c r="H88" s="179" t="s">
        <v>37</v>
      </c>
      <c r="I88" s="187">
        <f ca="1">IFERROR(__xludf.DUMMYFUNCTION("IMPORTRANGE(""https://docs.google.com/spreadsheets/d/1yGy89TWty5kAjAO5OL1fLLQ_DL8fVJHFf2LvMm8qymA/edit?usp=sharing"",""รวมเหนือ!I88"")+IMPORTRANGE(""https://docs.google.com/spreadsheets/d/1bWGR5Y7oTgtZIep2hLdTHG-chM0w9aHBSSpJHwm6lak/edit?usp=sharing"",""ร"&amp;"วมตะวันออกเฉียงเหนือ!I88"")+IMPORTRANGE(""https://docs.google.com/spreadsheets/d/1dCxWUCc_SKNp-qd8qsaa5pPX_-BuQqWJ_-8FnsS4Ki0/edit?usp=sharing"",""รวมกลาง!I88"")+IMPORTRANGE(""https://docs.google.com/spreadsheets/d/1uOzBKYgpuhMUe0xXQLXSct3xZ80hakAMJHdGJh9"&amp;"616E/edit?usp=sharing"",""รวมใต้!I88"")"),605)</f>
        <v>605</v>
      </c>
      <c r="J88" s="187">
        <f ca="1">IFERROR(__xludf.DUMMYFUNCTION("IMPORTRANGE(""https://docs.google.com/spreadsheets/d/1yGy89TWty5kAjAO5OL1fLLQ_DL8fVJHFf2LvMm8qymA/edit?usp=sharing"",""รวมเหนือ!J88"")+IMPORTRANGE(""https://docs.google.com/spreadsheets/d/1bWGR5Y7oTgtZIep2hLdTHG-chM0w9aHBSSpJHwm6lak/edit?usp=sharing"",""ร"&amp;"วมตะวันออกเฉียงเหนือ!J88"")+IMPORTRANGE(""https://docs.google.com/spreadsheets/d/1dCxWUCc_SKNp-qd8qsaa5pPX_-BuQqWJ_-8FnsS4Ki0/edit?usp=sharing"",""รวมกลาง!J88"")+IMPORTRANGE(""https://docs.google.com/spreadsheets/d/1uOzBKYgpuhMUe0xXQLXSct3xZ80hakAMJHdGJh9"&amp;"616E/edit?usp=sharing"",""รวมใต้!J88"")"),195)</f>
        <v>195</v>
      </c>
      <c r="K88" s="163">
        <f t="shared" ca="1" si="52"/>
        <v>32.231404958677686</v>
      </c>
      <c r="L88" s="180"/>
      <c r="M88" s="180"/>
      <c r="N88" s="180"/>
      <c r="O88" s="180"/>
      <c r="P88" s="180"/>
    </row>
    <row r="89" spans="1:16" ht="21.75" customHeight="1" x14ac:dyDescent="0.3">
      <c r="A89" s="174"/>
      <c r="B89" s="175"/>
      <c r="C89" s="175"/>
      <c r="D89" s="192"/>
      <c r="E89" s="193" t="s">
        <v>51</v>
      </c>
      <c r="F89" s="194"/>
      <c r="G89" s="195"/>
      <c r="H89" s="185"/>
      <c r="I89" s="186"/>
      <c r="J89" s="186">
        <f ca="1">IFERROR(__xludf.DUMMYFUNCTION("IMPORTRANGE(""https://docs.google.com/spreadsheets/d/1yGy89TWty5kAjAO5OL1fLLQ_DL8fVJHFf2LvMm8qymA/edit?usp=sharing"",""รวมเหนือ!J89"")+IMPORTRANGE(""https://docs.google.com/spreadsheets/d/1bWGR5Y7oTgtZIep2hLdTHG-chM0w9aHBSSpJHwm6lak/edit?usp=sharing"",""ร"&amp;"วมตะวันออกเฉียงเหนือ!J89"")+IMPORTRANGE(""https://docs.google.com/spreadsheets/d/1dCxWUCc_SKNp-qd8qsaa5pPX_-BuQqWJ_-8FnsS4Ki0/edit?usp=sharing"",""รวมกลาง!J89"")+IMPORTRANGE(""https://docs.google.com/spreadsheets/d/1uOzBKYgpuhMUe0xXQLXSct3xZ80hakAMJHdGJh9"&amp;"616E/edit?usp=sharing"",""รวมใต้!J89"")"),2)</f>
        <v>2</v>
      </c>
      <c r="K89" s="163"/>
      <c r="L89" s="180"/>
      <c r="M89" s="180"/>
      <c r="N89" s="180"/>
      <c r="O89" s="180"/>
      <c r="P89" s="180"/>
    </row>
    <row r="90" spans="1:16" ht="21.75" customHeight="1" x14ac:dyDescent="0.3">
      <c r="A90" s="174"/>
      <c r="B90" s="175"/>
      <c r="C90" s="175"/>
      <c r="D90" s="202">
        <v>3</v>
      </c>
      <c r="E90" s="203" t="s">
        <v>52</v>
      </c>
      <c r="F90" s="204"/>
      <c r="G90" s="205"/>
      <c r="H90" s="185"/>
      <c r="I90" s="186"/>
      <c r="J90" s="20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90" s="163"/>
      <c r="L90" s="180"/>
      <c r="M90" s="180"/>
      <c r="N90" s="180"/>
      <c r="O90" s="180"/>
      <c r="P90" s="180"/>
    </row>
    <row r="91" spans="1:16" ht="21.75" customHeight="1" x14ac:dyDescent="0.3">
      <c r="A91" s="207" t="s">
        <v>53</v>
      </c>
      <c r="B91" s="208"/>
      <c r="C91" s="209"/>
      <c r="D91" s="208"/>
      <c r="E91" s="210"/>
      <c r="F91" s="210"/>
      <c r="G91" s="211"/>
      <c r="H91" s="212"/>
      <c r="I91" s="213"/>
      <c r="J91" s="213"/>
      <c r="K91" s="214"/>
      <c r="L91" s="215"/>
      <c r="M91" s="215"/>
      <c r="N91" s="215"/>
      <c r="O91" s="216"/>
      <c r="P91" s="216"/>
    </row>
    <row r="92" spans="1:16" ht="21.75" customHeight="1" x14ac:dyDescent="0.3">
      <c r="A92" s="138"/>
      <c r="B92" s="139" t="s">
        <v>54</v>
      </c>
      <c r="C92" s="139"/>
      <c r="D92" s="140"/>
      <c r="E92" s="139"/>
      <c r="F92" s="139"/>
      <c r="G92" s="217"/>
      <c r="H92" s="141" t="s">
        <v>37</v>
      </c>
      <c r="I92" s="142">
        <f ca="1">IFERROR(__xludf.DUMMYFUNCTION("IMPORTRANGE(""https://docs.google.com/spreadsheets/d/1yGy89TWty5kAjAO5OL1fLLQ_DL8fVJHFf2LvMm8qymA/edit?usp=sharing"",""รวมเหนือ!I92"")+IMPORTRANGE(""https://docs.google.com/spreadsheets/d/1bWGR5Y7oTgtZIep2hLdTHG-chM0w9aHBSSpJHwm6lak/edit?usp=sharing"",""ร"&amp;"วมตะวันออกเฉียงเหนือ!I92"")+IMPORTRANGE(""https://docs.google.com/spreadsheets/d/1dCxWUCc_SKNp-qd8qsaa5pPX_-BuQqWJ_-8FnsS4Ki0/edit?usp=sharing"",""รวมกลาง!I92"")+IMPORTRANGE(""https://docs.google.com/spreadsheets/d/1uOzBKYgpuhMUe0xXQLXSct3xZ80hakAMJHdGJh9"&amp;"616E/edit?usp=sharing"",""รวมใต้!I92"")"),150)</f>
        <v>150</v>
      </c>
      <c r="J92" s="142">
        <f ca="1">IFERROR(__xludf.DUMMYFUNCTION("IMPORTRANGE(""https://docs.google.com/spreadsheets/d/1yGy89TWty5kAjAO5OL1fLLQ_DL8fVJHFf2LvMm8qymA/edit?usp=sharing"",""รวมเหนือ!J92"")+IMPORTRANGE(""https://docs.google.com/spreadsheets/d/1bWGR5Y7oTgtZIep2hLdTHG-chM0w9aHBSSpJHwm6lak/edit?usp=sharing"",""ร"&amp;"วมตะวันออกเฉียงเหนือ!J92"")+IMPORTRANGE(""https://docs.google.com/spreadsheets/d/1dCxWUCc_SKNp-qd8qsaa5pPX_-BuQqWJ_-8FnsS4Ki0/edit?usp=sharing"",""รวมกลาง!J92"")+IMPORTRANGE(""https://docs.google.com/spreadsheets/d/1uOzBKYgpuhMUe0xXQLXSct3xZ80hakAMJHdGJh9"&amp;"616E/edit?usp=sharing"",""รวมใต้!J92"")"),132)</f>
        <v>132</v>
      </c>
      <c r="K92" s="143">
        <f t="shared" ref="K92:K93" ca="1" si="53">IF(I92&gt;0,J92*100/I92,0)</f>
        <v>88</v>
      </c>
      <c r="L92" s="218"/>
      <c r="M92" s="218"/>
      <c r="N92" s="219"/>
      <c r="O92" s="143"/>
      <c r="P92" s="143"/>
    </row>
    <row r="93" spans="1:16" ht="21.75" customHeight="1" x14ac:dyDescent="0.3">
      <c r="A93" s="138"/>
      <c r="B93" s="139"/>
      <c r="C93" s="139"/>
      <c r="D93" s="140" t="s">
        <v>55</v>
      </c>
      <c r="E93" s="139"/>
      <c r="F93" s="139"/>
      <c r="G93" s="217"/>
      <c r="H93" s="141" t="s">
        <v>56</v>
      </c>
      <c r="I93" s="142">
        <f ca="1">IFERROR(__xludf.DUMMYFUNCTION("IMPORTRANGE(""https://docs.google.com/spreadsheets/d/1yGy89TWty5kAjAO5OL1fLLQ_DL8fVJHFf2LvMm8qymA/edit?usp=sharing"",""รวมเหนือ!I93"")+IMPORTRANGE(""https://docs.google.com/spreadsheets/d/1bWGR5Y7oTgtZIep2hLdTHG-chM0w9aHBSSpJHwm6lak/edit?usp=sharing"",""ร"&amp;"วมตะวันออกเฉียงเหนือ!I93"")+IMPORTRANGE(""https://docs.google.com/spreadsheets/d/1dCxWUCc_SKNp-qd8qsaa5pPX_-BuQqWJ_-8FnsS4Ki0/edit?usp=sharing"",""รวมกลาง!I93"")+IMPORTRANGE(""https://docs.google.com/spreadsheets/d/1uOzBKYgpuhMUe0xXQLXSct3xZ80hakAMJHdGJh9"&amp;"616E/edit?usp=sharing"",""รวมใต้!I93"")"),40)</f>
        <v>40</v>
      </c>
      <c r="J93" s="142">
        <f ca="1">IFERROR(__xludf.DUMMYFUNCTION("IMPORTRANGE(""https://docs.google.com/spreadsheets/d/1yGy89TWty5kAjAO5OL1fLLQ_DL8fVJHFf2LvMm8qymA/edit?usp=sharing"",""รวมเหนือ!J93"")+IMPORTRANGE(""https://docs.google.com/spreadsheets/d/1bWGR5Y7oTgtZIep2hLdTHG-chM0w9aHBSSpJHwm6lak/edit?usp=sharing"",""ร"&amp;"วมตะวันออกเฉียงเหนือ!J93"")+IMPORTRANGE(""https://docs.google.com/spreadsheets/d/1dCxWUCc_SKNp-qd8qsaa5pPX_-BuQqWJ_-8FnsS4Ki0/edit?usp=sharing"",""รวมกลาง!J93"")+IMPORTRANGE(""https://docs.google.com/spreadsheets/d/1uOzBKYgpuhMUe0xXQLXSct3xZ80hakAMJHdGJh9"&amp;"616E/edit?usp=sharing"",""รวมใต้!J93"")"),34)</f>
        <v>34</v>
      </c>
      <c r="K93" s="143">
        <f t="shared" ca="1" si="53"/>
        <v>85</v>
      </c>
      <c r="L93" s="219"/>
      <c r="M93" s="219"/>
      <c r="N93" s="219"/>
      <c r="O93" s="143"/>
      <c r="P93" s="143"/>
    </row>
    <row r="94" spans="1:16" ht="21.75" customHeight="1" x14ac:dyDescent="0.4">
      <c r="A94" s="146"/>
      <c r="B94" s="147"/>
      <c r="C94" s="148" t="s">
        <v>16</v>
      </c>
      <c r="D94" s="533" t="s">
        <v>17</v>
      </c>
      <c r="E94" s="534"/>
      <c r="F94" s="534"/>
      <c r="G94" s="534"/>
      <c r="H94" s="149" t="s">
        <v>12</v>
      </c>
      <c r="I94" s="162"/>
      <c r="J94" s="162"/>
      <c r="K94" s="163"/>
      <c r="L94" s="152">
        <f t="shared" ref="L94:N94" ca="1" si="54">L95+L96</f>
        <v>9659100</v>
      </c>
      <c r="M94" s="152">
        <f t="shared" ca="1" si="54"/>
        <v>8167100</v>
      </c>
      <c r="N94" s="152">
        <f t="shared" ca="1" si="54"/>
        <v>5271656.0699999901</v>
      </c>
      <c r="O94" s="151">
        <f t="shared" ref="O94:O96" ca="1" si="55">IF(L94&gt;0,N94*100/L94,0)</f>
        <v>54.577093828617471</v>
      </c>
      <c r="P94" s="151">
        <f t="shared" ref="P94:P98" ca="1" si="56">IF(M94&gt;0,N94*100/M94,0)</f>
        <v>64.547465685494117</v>
      </c>
    </row>
    <row r="95" spans="1:16" ht="21.75" customHeight="1" x14ac:dyDescent="0.4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ca="1" si="57">L97+L101</f>
        <v>1963300</v>
      </c>
      <c r="M95" s="157">
        <f t="shared" ca="1" si="57"/>
        <v>471300</v>
      </c>
      <c r="N95" s="157">
        <f t="shared" ca="1" si="57"/>
        <v>303677.2</v>
      </c>
      <c r="O95" s="156">
        <f t="shared" ca="1" si="55"/>
        <v>15.467692150970304</v>
      </c>
      <c r="P95" s="156">
        <f t="shared" ca="1" si="56"/>
        <v>64.433948652662849</v>
      </c>
    </row>
    <row r="96" spans="1:16" ht="21.75" customHeight="1" x14ac:dyDescent="0.4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8">L98+L102</f>
        <v>7695800</v>
      </c>
      <c r="M96" s="157">
        <f t="shared" ca="1" si="58"/>
        <v>7695800</v>
      </c>
      <c r="N96" s="157">
        <f t="shared" ca="1" si="58"/>
        <v>4967978.8699999899</v>
      </c>
      <c r="O96" s="156">
        <f t="shared" ca="1" si="55"/>
        <v>64.554417604407462</v>
      </c>
      <c r="P96" s="156">
        <f t="shared" ca="1" si="56"/>
        <v>64.554417604407462</v>
      </c>
    </row>
    <row r="97" spans="1:16" ht="21.75" customHeight="1" x14ac:dyDescent="0.4">
      <c r="A97" s="220"/>
      <c r="B97" s="167"/>
      <c r="C97" s="167" t="s">
        <v>16</v>
      </c>
      <c r="D97" s="535" t="s">
        <v>20</v>
      </c>
      <c r="E97" s="532"/>
      <c r="F97" s="532"/>
      <c r="G97" s="160" t="s">
        <v>38</v>
      </c>
      <c r="H97" s="168" t="s">
        <v>12</v>
      </c>
      <c r="I97" s="162" t="s">
        <v>39</v>
      </c>
      <c r="J97" s="162"/>
      <c r="K97" s="163"/>
      <c r="L97" s="164">
        <f ca="1">IFERROR(__xludf.DUMMYFUNCTION("IMPORTRANGE(""https://docs.google.com/spreadsheets/d/1Yj_ptqi66GCucihVvJfMjLAmec39IyEx_6qawtMGysU/edit?usp=sharing"",""สบก!AM15"")"),1962100)</f>
        <v>1962100</v>
      </c>
      <c r="M97" s="164">
        <f ca="1">IFERROR(__xludf.DUMMYFUNCTION("IMPORTRANGE(""https://docs.google.com/spreadsheets/d/1Yj_ptqi66GCucihVvJfMjLAmec39IyEx_6qawtMGysU/edit?usp=sharing"",""สบก!AR15"")"),471300)</f>
        <v>471300</v>
      </c>
      <c r="N97" s="164">
        <f ca="1">IFERROR(__xludf.DUMMYFUNCTION("IMPORTRANGE(""https://docs.google.com/spreadsheets/d/1Yj_ptqi66GCucihVvJfMjLAmec39IyEx_6qawtMGysU/edit?usp=sharing"",""สบก!AS15"")"),303677.2)</f>
        <v>303677.2</v>
      </c>
      <c r="O97" s="165">
        <f ca="1">+IF(L97&gt;0,N97*100/L97,0)</f>
        <v>15.477152030987208</v>
      </c>
      <c r="P97" s="165">
        <f t="shared" ca="1" si="56"/>
        <v>64.433948652662849</v>
      </c>
    </row>
    <row r="98" spans="1:16" ht="21.75" customHeight="1" x14ac:dyDescent="0.3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8" t="s">
        <v>12</v>
      </c>
      <c r="I98" s="162"/>
      <c r="J98" s="162"/>
      <c r="K98" s="163"/>
      <c r="L98" s="164">
        <f ca="1">IFERROR(__xludf.DUMMYFUNCTION("IMPORTRANGE(""https://docs.google.com/spreadsheets/d/1yGy89TWty5kAjAO5OL1fLLQ_DL8fVJHFf2LvMm8qymA/edit?usp=sharing"",""รวมเหนือ!L98"")+IMPORTRANGE(""https://docs.google.com/spreadsheets/d/1bWGR5Y7oTgtZIep2hLdTHG-chM0w9aHBSSpJHwm6lak/edit?usp=sharing"",""ร"&amp;"วมตะวันออกเฉียงเหนือ!L98"")+IMPORTRANGE(""https://docs.google.com/spreadsheets/d/1dCxWUCc_SKNp-qd8qsaa5pPX_-BuQqWJ_-8FnsS4Ki0/edit?usp=sharing"",""รวมกลาง!L98"")+IMPORTRANGE(""https://docs.google.com/spreadsheets/d/1uOzBKYgpuhMUe0xXQLXSct3xZ80hakAMJHdGJh9"&amp;"616E/edit?usp=sharing"",""รวมใต้!L98"")"),4001000)</f>
        <v>4001000</v>
      </c>
      <c r="M98" s="164">
        <f ca="1">IFERROR(__xludf.DUMMYFUNCTION("IMPORTRANGE(""https://docs.google.com/spreadsheets/d/1yGy89TWty5kAjAO5OL1fLLQ_DL8fVJHFf2LvMm8qymA/edit?usp=sharing"",""รวมเหนือ!M98"")+IMPORTRANGE(""https://docs.google.com/spreadsheets/d/1bWGR5Y7oTgtZIep2hLdTHG-chM0w9aHBSSpJHwm6lak/edit?usp=sharing"",""ร"&amp;"วมตะวันออกเฉียงเหนือ!M98"")+IMPORTRANGE(""https://docs.google.com/spreadsheets/d/1dCxWUCc_SKNp-qd8qsaa5pPX_-BuQqWJ_-8FnsS4Ki0/edit?usp=sharing"",""รวมกลาง!M98"")+IMPORTRANGE(""https://docs.google.com/spreadsheets/d/1uOzBKYgpuhMUe0xXQLXSct3xZ80hakAMJHdGJh9"&amp;"616E/edit?usp=sharing"",""รวมใต้!M98"")"),4001000)</f>
        <v>4001000</v>
      </c>
      <c r="N98" s="165">
        <f ca="1">IFERROR(__xludf.DUMMYFUNCTION("IMPORTRANGE(""https://docs.google.com/spreadsheets/d/1yGy89TWty5kAjAO5OL1fLLQ_DL8fVJHFf2LvMm8qymA/edit?usp=sharing"",""รวมเหนือ!N98"")+IMPORTRANGE(""https://docs.google.com/spreadsheets/d/1bWGR5Y7oTgtZIep2hLdTHG-chM0w9aHBSSpJHwm6lak/edit?usp=sharing"",""ร"&amp;"วมตะวันออกเฉียงเหนือ!N98"")+IMPORTRANGE(""https://docs.google.com/spreadsheets/d/1dCxWUCc_SKNp-qd8qsaa5pPX_-BuQqWJ_-8FnsS4Ki0/edit?usp=sharing"",""รวมกลาง!N98"")+IMPORTRANGE(""https://docs.google.com/spreadsheets/d/1uOzBKYgpuhMUe0xXQLXSct3xZ80hakAMJHdGJh9"&amp;"616E/edit?usp=sharing"",""รวมใต้!N98"")"),1275983.86999999)</f>
        <v>1275983.8699999901</v>
      </c>
      <c r="O98" s="165">
        <f ca="1">IF(L98&gt;0,N98*100/L98,0)</f>
        <v>31.891623844038744</v>
      </c>
      <c r="P98" s="165">
        <f t="shared" ca="1" si="56"/>
        <v>31.891623844038744</v>
      </c>
    </row>
    <row r="99" spans="1:16" ht="21.75" customHeight="1" x14ac:dyDescent="0.4">
      <c r="A99" s="158"/>
      <c r="B99" s="159"/>
      <c r="C99" s="159"/>
      <c r="D99" s="166"/>
      <c r="E99" s="167"/>
      <c r="F99" s="167"/>
      <c r="G99" s="34" t="s">
        <v>21</v>
      </c>
      <c r="H99" s="168" t="s">
        <v>12</v>
      </c>
      <c r="I99" s="162"/>
      <c r="J99" s="162"/>
      <c r="K99" s="163"/>
      <c r="L99" s="164">
        <f ca="1">IFERROR(__xludf.DUMMYFUNCTION("IMPORTRANGE(""https://docs.google.com/spreadsheets/d/1yGy89TWty5kAjAO5OL1fLLQ_DL8fVJHFf2LvMm8qymA/edit?usp=sharing"",""รวมเหนือ!L99"")+IMPORTRANGE(""https://docs.google.com/spreadsheets/d/1bWGR5Y7oTgtZIep2hLdTHG-chM0w9aHBSSpJHwm6lak/edit?usp=sharing"",""ร"&amp;"วมตะวันออกเฉียงเหนือ!L99"")+IMPORTRANGE(""https://docs.google.com/spreadsheets/d/1dCxWUCc_SKNp-qd8qsaa5pPX_-BuQqWJ_-8FnsS4Ki0/edit?usp=sharing"",""รวมกลาง!L99"")+IMPORTRANGE(""https://docs.google.com/spreadsheets/d/1uOzBKYgpuhMUe0xXQLXSct3xZ80hakAMJHdGJh9"&amp;"616E/edit?usp=sharing"",""รวมใต้!L99"")"),0)</f>
        <v>0</v>
      </c>
      <c r="M99" s="164"/>
      <c r="N99" s="164"/>
      <c r="O99" s="165"/>
      <c r="P99" s="165"/>
    </row>
    <row r="100" spans="1:16" ht="21.75" customHeight="1" x14ac:dyDescent="0.4">
      <c r="A100" s="158"/>
      <c r="B100" s="159"/>
      <c r="C100" s="159"/>
      <c r="D100" s="166"/>
      <c r="E100" s="167"/>
      <c r="F100" s="167"/>
      <c r="G100" s="34" t="s">
        <v>22</v>
      </c>
      <c r="H100" s="168" t="s">
        <v>12</v>
      </c>
      <c r="I100" s="162"/>
      <c r="J100" s="186"/>
      <c r="K100" s="221"/>
      <c r="L100" s="164">
        <f ca="1">IFERROR(__xludf.DUMMYFUNCTION("IMPORTRANGE(""https://docs.google.com/spreadsheets/d/1yGy89TWty5kAjAO5OL1fLLQ_DL8fVJHFf2LvMm8qymA/edit?usp=sharing"",""รวมเหนือ!L100"")+IMPORTRANGE(""https://docs.google.com/spreadsheets/d/1bWGR5Y7oTgtZIep2hLdTHG-chM0w9aHBSSpJHwm6lak/edit?usp=sharing"","""&amp;"รวมตะวันออกเฉียงเหนือ!L100"")+IMPORTRANGE(""https://docs.google.com/spreadsheets/d/1dCxWUCc_SKNp-qd8qsaa5pPX_-BuQqWJ_-8FnsS4Ki0/edit?usp=sharing"",""รวมกลาง!L100"")+IMPORTRANGE(""https://docs.google.com/spreadsheets/d/1uOzBKYgpuhMUe0xXQLXSct3xZ80hakAMJHdG"&amp;"Jh9616E/edit?usp=sharing"",""รวมใต้!L100"")"),4001000)</f>
        <v>4001000</v>
      </c>
      <c r="M100" s="164"/>
      <c r="N100" s="164"/>
      <c r="O100" s="165"/>
      <c r="P100" s="165"/>
    </row>
    <row r="101" spans="1:16" ht="21.75" customHeight="1" x14ac:dyDescent="0.4">
      <c r="A101" s="169"/>
      <c r="B101" s="80"/>
      <c r="C101" s="81" t="s">
        <v>16</v>
      </c>
      <c r="D101" s="531" t="s">
        <v>23</v>
      </c>
      <c r="E101" s="532"/>
      <c r="F101" s="86"/>
      <c r="G101" s="82" t="s">
        <v>18</v>
      </c>
      <c r="H101" s="170" t="s">
        <v>12</v>
      </c>
      <c r="I101" s="186"/>
      <c r="J101" s="186"/>
      <c r="K101" s="221"/>
      <c r="L101" s="41">
        <f ca="1">IFERROR(__xludf.DUMMYFUNCTION("IMPORTRANGE(""https://docs.google.com/spreadsheets/d/1Yj_ptqi66GCucihVvJfMjLAmec39IyEx_6qawtMGysU/edit?usp=sharing"",""สบก!AP15"")"),1200)</f>
        <v>1200</v>
      </c>
      <c r="M101" s="41"/>
      <c r="N101" s="41">
        <f ca="1">IFERROR(__xludf.DUMMYFUNCTION("IMPORTRANGE(""https://docs.google.com/spreadsheets/d/1Yj_ptqi66GCucihVvJfMjLAmec39IyEx_6qawtMGysU/edit?usp=sharing"",""สบก!AT15"")"),0)</f>
        <v>0</v>
      </c>
      <c r="O101" s="120"/>
      <c r="P101" s="120"/>
    </row>
    <row r="102" spans="1:16" ht="21.75" customHeight="1" x14ac:dyDescent="0.4">
      <c r="A102" s="171"/>
      <c r="B102" s="89"/>
      <c r="C102" s="89"/>
      <c r="D102" s="172"/>
      <c r="E102" s="90"/>
      <c r="F102" s="90"/>
      <c r="G102" s="91" t="s">
        <v>19</v>
      </c>
      <c r="H102" s="173" t="s">
        <v>12</v>
      </c>
      <c r="I102" s="186"/>
      <c r="J102" s="186"/>
      <c r="K102" s="221"/>
      <c r="L102" s="49">
        <f ca="1">IFERROR(__xludf.DUMMYFUNCTION("IMPORTRANGE(""https://docs.google.com/spreadsheets/d/1yGy89TWty5kAjAO5OL1fLLQ_DL8fVJHFf2LvMm8qymA/edit?usp=sharing"",""รวมเหนือ!L102"")+IMPORTRANGE(""https://docs.google.com/spreadsheets/d/1bWGR5Y7oTgtZIep2hLdTHG-chM0w9aHBSSpJHwm6lak/edit?usp=sharing"","""&amp;"รวมตะวันออกเฉียงเหนือ!L102"")+IMPORTRANGE(""https://docs.google.com/spreadsheets/d/1dCxWUCc_SKNp-qd8qsaa5pPX_-BuQqWJ_-8FnsS4Ki0/edit?usp=sharing"",""รวมกลาง!L102"")+IMPORTRANGE(""https://docs.google.com/spreadsheets/d/1uOzBKYgpuhMUe0xXQLXSct3xZ80hakAMJHdG"&amp;"Jh9616E/edit?usp=sharing"",""รวมใต้!L102"")"),3694800)</f>
        <v>3694800</v>
      </c>
      <c r="M102" s="49">
        <f ca="1">IFERROR(__xludf.DUMMYFUNCTION("IMPORTRANGE(""https://docs.google.com/spreadsheets/d/1yGy89TWty5kAjAO5OL1fLLQ_DL8fVJHFf2LvMm8qymA/edit?usp=sharing"",""รวมเหนือ!M102"")+IMPORTRANGE(""https://docs.google.com/spreadsheets/d/1bWGR5Y7oTgtZIep2hLdTHG-chM0w9aHBSSpJHwm6lak/edit?usp=sharing"","""&amp;"รวมตะวันออกเฉียงเหนือ!M102"")+IMPORTRANGE(""https://docs.google.com/spreadsheets/d/1dCxWUCc_SKNp-qd8qsaa5pPX_-BuQqWJ_-8FnsS4Ki0/edit?usp=sharing"",""รวมกลาง!M102"")+IMPORTRANGE(""https://docs.google.com/spreadsheets/d/1uOzBKYgpuhMUe0xXQLXSct3xZ80hakAMJHdG"&amp;"Jh9616E/edit?usp=sharing"",""รวมใต้!M102"")"),3694800)</f>
        <v>3694800</v>
      </c>
      <c r="N102" s="49">
        <f ca="1">IFERROR(__xludf.DUMMYFUNCTION("IMPORTRANGE(""https://docs.google.com/spreadsheets/d/1yGy89TWty5kAjAO5OL1fLLQ_DL8fVJHFf2LvMm8qymA/edit?usp=sharing"",""รวมเหนือ!N102"")+IMPORTRANGE(""https://docs.google.com/spreadsheets/d/1bWGR5Y7oTgtZIep2hLdTHG-chM0w9aHBSSpJHwm6lak/edit?usp=sharing"","""&amp;"รวมตะวันออกเฉียงเหนือ!N102"")+IMPORTRANGE(""https://docs.google.com/spreadsheets/d/1dCxWUCc_SKNp-qd8qsaa5pPX_-BuQqWJ_-8FnsS4Ki0/edit?usp=sharing"",""รวมกลาง!N102"")+IMPORTRANGE(""https://docs.google.com/spreadsheets/d/1uOzBKYgpuhMUe0xXQLXSct3xZ80hakAMJHdG"&amp;"Jh9616E/edit?usp=sharing"",""รวมใต้!N102"")"),3691995)</f>
        <v>3691995</v>
      </c>
      <c r="O102" s="121">
        <f ca="1">IF(L102&gt;0,N102*100/L102,0)</f>
        <v>99.924082494316337</v>
      </c>
      <c r="P102" s="121">
        <f ca="1">IF(M102&gt;0,N102*100/M102,0)</f>
        <v>99.924082494316337</v>
      </c>
    </row>
    <row r="103" spans="1:16" ht="21.75" customHeight="1" x14ac:dyDescent="0.3">
      <c r="A103" s="174"/>
      <c r="B103" s="175"/>
      <c r="C103" s="159" t="s">
        <v>16</v>
      </c>
      <c r="D103" s="176" t="s">
        <v>41</v>
      </c>
      <c r="E103" s="177"/>
      <c r="F103" s="177"/>
      <c r="G103" s="178"/>
      <c r="H103" s="179"/>
      <c r="I103" s="162"/>
      <c r="J103" s="186"/>
      <c r="K103" s="221"/>
      <c r="L103" s="165"/>
      <c r="M103" s="165"/>
      <c r="N103" s="165"/>
      <c r="O103" s="180"/>
      <c r="P103" s="180"/>
    </row>
    <row r="104" spans="1:16" ht="21.75" customHeight="1" x14ac:dyDescent="0.3">
      <c r="A104" s="174"/>
      <c r="B104" s="175"/>
      <c r="C104" s="175"/>
      <c r="D104" s="181">
        <v>1</v>
      </c>
      <c r="E104" s="182" t="s">
        <v>42</v>
      </c>
      <c r="F104" s="183"/>
      <c r="G104" s="184"/>
      <c r="H104" s="185"/>
      <c r="I104" s="186"/>
      <c r="J104" s="186">
        <f ca="1">IFERROR(__xludf.DUMMYFUNCTION("IMPORTRANGE(""https://docs.google.com/spreadsheets/d/1yGy89TWty5kAjAO5OL1fLLQ_DL8fVJHFf2LvMm8qymA/edit?usp=sharing"",""รวมเหนือ!J104"")+IMPORTRANGE(""https://docs.google.com/spreadsheets/d/1bWGR5Y7oTgtZIep2hLdTHG-chM0w9aHBSSpJHwm6lak/edit?usp=sharing"","""&amp;"รวมตะวันออกเฉียงเหนือ!J104"")+IMPORTRANGE(""https://docs.google.com/spreadsheets/d/1dCxWUCc_SKNp-qd8qsaa5pPX_-BuQqWJ_-8FnsS4Ki0/edit?usp=sharing"",""รวมกลาง!J104"")+IMPORTRANGE(""https://docs.google.com/spreadsheets/d/1uOzBKYgpuhMUe0xXQLXSct3xZ80hakAMJHdG"&amp;"Jh9616E/edit?usp=sharing"",""รวมใต้!J104"")"),0)</f>
        <v>0</v>
      </c>
      <c r="K104" s="221"/>
      <c r="L104" s="165"/>
      <c r="M104" s="165"/>
      <c r="N104" s="165"/>
      <c r="O104" s="180"/>
      <c r="P104" s="180"/>
    </row>
    <row r="105" spans="1:16" ht="21.75" customHeight="1" x14ac:dyDescent="0.3">
      <c r="A105" s="174"/>
      <c r="B105" s="175"/>
      <c r="C105" s="175"/>
      <c r="D105" s="188">
        <v>2</v>
      </c>
      <c r="E105" s="189" t="s">
        <v>43</v>
      </c>
      <c r="F105" s="190"/>
      <c r="G105" s="191"/>
      <c r="H105" s="185"/>
      <c r="I105" s="186"/>
      <c r="J105" s="186">
        <f ca="1">IFERROR(__xludf.DUMMYFUNCTION("IMPORTRANGE(""https://docs.google.com/spreadsheets/d/1yGy89TWty5kAjAO5OL1fLLQ_DL8fVJHFf2LvMm8qymA/edit?usp=sharing"",""รวมเหนือ!J105"")+IMPORTRANGE(""https://docs.google.com/spreadsheets/d/1bWGR5Y7oTgtZIep2hLdTHG-chM0w9aHBSSpJHwm6lak/edit?usp=sharing"","""&amp;"รวมตะวันออกเฉียงเหนือ!J105"")+IMPORTRANGE(""https://docs.google.com/spreadsheets/d/1dCxWUCc_SKNp-qd8qsaa5pPX_-BuQqWJ_-8FnsS4Ki0/edit?usp=sharing"",""รวมกลาง!J105"")+IMPORTRANGE(""https://docs.google.com/spreadsheets/d/1uOzBKYgpuhMUe0xXQLXSct3xZ80hakAMJHdG"&amp;"Jh9616E/edit?usp=sharing"",""รวมใต้!J105"")"),31)</f>
        <v>31</v>
      </c>
      <c r="K105" s="221"/>
      <c r="L105" s="165" t="s">
        <v>39</v>
      </c>
      <c r="M105" s="165"/>
      <c r="N105" s="165" t="s">
        <v>39</v>
      </c>
      <c r="O105" s="180"/>
      <c r="P105" s="180"/>
    </row>
    <row r="106" spans="1:16" ht="21.75" customHeight="1" x14ac:dyDescent="0.3">
      <c r="A106" s="174"/>
      <c r="B106" s="175"/>
      <c r="C106" s="175"/>
      <c r="D106" s="192"/>
      <c r="E106" s="193" t="s">
        <v>44</v>
      </c>
      <c r="F106" s="194"/>
      <c r="G106" s="195"/>
      <c r="H106" s="185"/>
      <c r="I106" s="186"/>
      <c r="J106" s="186">
        <f ca="1">IFERROR(__xludf.DUMMYFUNCTION("IMPORTRANGE(""https://docs.google.com/spreadsheets/d/1yGy89TWty5kAjAO5OL1fLLQ_DL8fVJHFf2LvMm8qymA/edit?usp=sharing"",""รวมเหนือ!J106"")+IMPORTRANGE(""https://docs.google.com/spreadsheets/d/1bWGR5Y7oTgtZIep2hLdTHG-chM0w9aHBSSpJHwm6lak/edit?usp=sharing"","""&amp;"รวมตะวันออกเฉียงเหนือ!J106"")+IMPORTRANGE(""https://docs.google.com/spreadsheets/d/1dCxWUCc_SKNp-qd8qsaa5pPX_-BuQqWJ_-8FnsS4Ki0/edit?usp=sharing"",""รวมกลาง!J106"")+IMPORTRANGE(""https://docs.google.com/spreadsheets/d/1uOzBKYgpuhMUe0xXQLXSct3xZ80hakAMJHdG"&amp;"Jh9616E/edit?usp=sharing"",""รวมใต้!J106"")"),31)</f>
        <v>31</v>
      </c>
      <c r="K106" s="221"/>
      <c r="L106" s="165"/>
      <c r="M106" s="165"/>
      <c r="N106" s="165"/>
      <c r="O106" s="180"/>
      <c r="P106" s="180"/>
    </row>
    <row r="107" spans="1:16" ht="21.75" customHeight="1" x14ac:dyDescent="0.3">
      <c r="A107" s="174"/>
      <c r="B107" s="175"/>
      <c r="C107" s="175"/>
      <c r="D107" s="192"/>
      <c r="E107" s="193" t="s">
        <v>45</v>
      </c>
      <c r="F107" s="194"/>
      <c r="G107" s="195"/>
      <c r="H107" s="185"/>
      <c r="I107" s="186"/>
      <c r="J107" s="186">
        <f ca="1">IFERROR(__xludf.DUMMYFUNCTION("IMPORTRANGE(""https://docs.google.com/spreadsheets/d/1yGy89TWty5kAjAO5OL1fLLQ_DL8fVJHFf2LvMm8qymA/edit?usp=sharing"",""รวมเหนือ!J107"")+IMPORTRANGE(""https://docs.google.com/spreadsheets/d/1bWGR5Y7oTgtZIep2hLdTHG-chM0w9aHBSSpJHwm6lak/edit?usp=sharing"","""&amp;"รวมตะวันออกเฉียงเหนือ!J107"")+IMPORTRANGE(""https://docs.google.com/spreadsheets/d/1dCxWUCc_SKNp-qd8qsaa5pPX_-BuQqWJ_-8FnsS4Ki0/edit?usp=sharing"",""รวมกลาง!J107"")+IMPORTRANGE(""https://docs.google.com/spreadsheets/d/1uOzBKYgpuhMUe0xXQLXSct3xZ80hakAMJHdG"&amp;"Jh9616E/edit?usp=sharing"",""รวมใต้!J107"")"),29)</f>
        <v>29</v>
      </c>
      <c r="K107" s="221"/>
      <c r="L107" s="165"/>
      <c r="M107" s="165"/>
      <c r="N107" s="165"/>
      <c r="O107" s="180"/>
      <c r="P107" s="180"/>
    </row>
    <row r="108" spans="1:16" ht="21.75" customHeight="1" x14ac:dyDescent="0.3">
      <c r="A108" s="174"/>
      <c r="B108" s="175"/>
      <c r="C108" s="175"/>
      <c r="D108" s="192"/>
      <c r="E108" s="194"/>
      <c r="F108" s="194" t="s">
        <v>57</v>
      </c>
      <c r="G108" s="194"/>
      <c r="H108" s="179" t="s">
        <v>58</v>
      </c>
      <c r="I108" s="200">
        <f ca="1">IFERROR(__xludf.DUMMYFUNCTION("IMPORTRANGE(""https://docs.google.com/spreadsheets/d/1yGy89TWty5kAjAO5OL1fLLQ_DL8fVJHFf2LvMm8qymA/edit?usp=sharing"",""รวมเหนือ!I108"")+IMPORTRANGE(""https://docs.google.com/spreadsheets/d/1bWGR5Y7oTgtZIep2hLdTHG-chM0w9aHBSSpJHwm6lak/edit?usp=sharing"","""&amp;"รวมตะวันออกเฉียงเหนือ!I108"")+IMPORTRANGE(""https://docs.google.com/spreadsheets/d/1dCxWUCc_SKNp-qd8qsaa5pPX_-BuQqWJ_-8FnsS4Ki0/edit?usp=sharing"",""รวมกลาง!I108"")+IMPORTRANGE(""https://docs.google.com/spreadsheets/d/1uOzBKYgpuhMUe0xXQLXSct3xZ80hakAMJHdG"&amp;"Jh9616E/edit?usp=sharing"",""รวมใต้!I108"")"),32)</f>
        <v>32</v>
      </c>
      <c r="J108" s="187">
        <f ca="1">IFERROR(__xludf.DUMMYFUNCTION("IMPORTRANGE(""https://docs.google.com/spreadsheets/d/1yGy89TWty5kAjAO5OL1fLLQ_DL8fVJHFf2LvMm8qymA/edit?usp=sharing"",""รวมเหนือ!J108"")+IMPORTRANGE(""https://docs.google.com/spreadsheets/d/1bWGR5Y7oTgtZIep2hLdTHG-chM0w9aHBSSpJHwm6lak/edit?usp=sharing"","""&amp;"รวมตะวันออกเฉียงเหนือ!J108"")+IMPORTRANGE(""https://docs.google.com/spreadsheets/d/1dCxWUCc_SKNp-qd8qsaa5pPX_-BuQqWJ_-8FnsS4Ki0/edit?usp=sharing"",""รวมกลาง!J108"")+IMPORTRANGE(""https://docs.google.com/spreadsheets/d/1uOzBKYgpuhMUe0xXQLXSct3xZ80hakAMJHdG"&amp;"Jh9616E/edit?usp=sharing"",""รวมใต้!J108"")"),28)</f>
        <v>28</v>
      </c>
      <c r="K108" s="221">
        <f t="shared" ref="K108:K113" ca="1" si="59">IF(I108&gt;0,J108*100/I108,0)</f>
        <v>87.5</v>
      </c>
      <c r="L108" s="165"/>
      <c r="M108" s="165"/>
      <c r="N108" s="165"/>
      <c r="O108" s="180"/>
      <c r="P108" s="180"/>
    </row>
    <row r="109" spans="1:16" ht="21.75" customHeight="1" x14ac:dyDescent="0.3">
      <c r="A109" s="174"/>
      <c r="B109" s="175"/>
      <c r="C109" s="175"/>
      <c r="D109" s="192"/>
      <c r="E109" s="196"/>
      <c r="F109" s="193" t="s">
        <v>59</v>
      </c>
      <c r="G109" s="194"/>
      <c r="H109" s="179" t="s">
        <v>37</v>
      </c>
      <c r="I109" s="200">
        <f ca="1">IFERROR(__xludf.DUMMYFUNCTION("IMPORTRANGE(""https://docs.google.com/spreadsheets/d/1yGy89TWty5kAjAO5OL1fLLQ_DL8fVJHFf2LvMm8qymA/edit?usp=sharing"",""รวมเหนือ!I109"")+IMPORTRANGE(""https://docs.google.com/spreadsheets/d/1bWGR5Y7oTgtZIep2hLdTHG-chM0w9aHBSSpJHwm6lak/edit?usp=sharing"","""&amp;"รวมตะวันออกเฉียงเหนือ!I109"")+IMPORTRANGE(""https://docs.google.com/spreadsheets/d/1dCxWUCc_SKNp-qd8qsaa5pPX_-BuQqWJ_-8FnsS4Ki0/edit?usp=sharing"",""รวมกลาง!I109"")+IMPORTRANGE(""https://docs.google.com/spreadsheets/d/1uOzBKYgpuhMUe0xXQLXSct3xZ80hakAMJHdG"&amp;"Jh9616E/edit?usp=sharing"",""รวมใต้!I109"")"),150)</f>
        <v>150</v>
      </c>
      <c r="J109" s="187">
        <f ca="1">IFERROR(__xludf.DUMMYFUNCTION("IMPORTRANGE(""https://docs.google.com/spreadsheets/d/1yGy89TWty5kAjAO5OL1fLLQ_DL8fVJHFf2LvMm8qymA/edit?usp=sharing"",""รวมเหนือ!J109"")+IMPORTRANGE(""https://docs.google.com/spreadsheets/d/1bWGR5Y7oTgtZIep2hLdTHG-chM0w9aHBSSpJHwm6lak/edit?usp=sharing"","""&amp;"รวมตะวันออกเฉียงเหนือ!J109"")+IMPORTRANGE(""https://docs.google.com/spreadsheets/d/1dCxWUCc_SKNp-qd8qsaa5pPX_-BuQqWJ_-8FnsS4Ki0/edit?usp=sharing"",""รวมกลาง!J109"")+IMPORTRANGE(""https://docs.google.com/spreadsheets/d/1uOzBKYgpuhMUe0xXQLXSct3xZ80hakAMJHdG"&amp;"Jh9616E/edit?usp=sharing"",""รวมใต้!J109"")"),132)</f>
        <v>132</v>
      </c>
      <c r="K109" s="221">
        <f t="shared" ca="1" si="59"/>
        <v>88</v>
      </c>
      <c r="L109" s="165"/>
      <c r="M109" s="165"/>
      <c r="N109" s="165"/>
      <c r="O109" s="180"/>
      <c r="P109" s="180"/>
    </row>
    <row r="110" spans="1:16" ht="21.75" customHeight="1" x14ac:dyDescent="0.3">
      <c r="A110" s="174"/>
      <c r="B110" s="175"/>
      <c r="C110" s="175"/>
      <c r="D110" s="192"/>
      <c r="E110" s="196"/>
      <c r="F110" s="194"/>
      <c r="G110" s="222" t="s">
        <v>60</v>
      </c>
      <c r="H110" s="179" t="s">
        <v>37</v>
      </c>
      <c r="I110" s="200">
        <f ca="1">IFERROR(__xludf.DUMMYFUNCTION("IMPORTRANGE(""https://docs.google.com/spreadsheets/d/1yGy89TWty5kAjAO5OL1fLLQ_DL8fVJHFf2LvMm8qymA/edit?usp=sharing"",""รวมเหนือ!I110"")+IMPORTRANGE(""https://docs.google.com/spreadsheets/d/1bWGR5Y7oTgtZIep2hLdTHG-chM0w9aHBSSpJHwm6lak/edit?usp=sharing"","""&amp;"รวมตะวันออกเฉียงเหนือ!I110"")+IMPORTRANGE(""https://docs.google.com/spreadsheets/d/1dCxWUCc_SKNp-qd8qsaa5pPX_-BuQqWJ_-8FnsS4Ki0/edit?usp=sharing"",""รวมกลาง!I110"")+IMPORTRANGE(""https://docs.google.com/spreadsheets/d/1uOzBKYgpuhMUe0xXQLXSct3xZ80hakAMJHdG"&amp;"Jh9616E/edit?usp=sharing"",""รวมใต้!I110"")"),150)</f>
        <v>150</v>
      </c>
      <c r="J110" s="187">
        <f ca="1">IFERROR(__xludf.DUMMYFUNCTION("IMPORTRANGE(""https://docs.google.com/spreadsheets/d/1yGy89TWty5kAjAO5OL1fLLQ_DL8fVJHFf2LvMm8qymA/edit?usp=sharing"",""รวมเหนือ!J110"")+IMPORTRANGE(""https://docs.google.com/spreadsheets/d/1bWGR5Y7oTgtZIep2hLdTHG-chM0w9aHBSSpJHwm6lak/edit?usp=sharing"","""&amp;"รวมตะวันออกเฉียงเหนือ!J110"")+IMPORTRANGE(""https://docs.google.com/spreadsheets/d/1dCxWUCc_SKNp-qd8qsaa5pPX_-BuQqWJ_-8FnsS4Ki0/edit?usp=sharing"",""รวมกลาง!J110"")+IMPORTRANGE(""https://docs.google.com/spreadsheets/d/1uOzBKYgpuhMUe0xXQLXSct3xZ80hakAMJHdG"&amp;"Jh9616E/edit?usp=sharing"",""รวมใต้!J110"")"),151)</f>
        <v>151</v>
      </c>
      <c r="K110" s="221">
        <f t="shared" ca="1" si="59"/>
        <v>100.66666666666667</v>
      </c>
      <c r="L110" s="165"/>
      <c r="M110" s="165"/>
      <c r="N110" s="165"/>
      <c r="O110" s="180"/>
      <c r="P110" s="180"/>
    </row>
    <row r="111" spans="1:16" ht="21.75" customHeight="1" x14ac:dyDescent="0.3">
      <c r="A111" s="174"/>
      <c r="B111" s="175"/>
      <c r="C111" s="175"/>
      <c r="D111" s="192"/>
      <c r="E111" s="196"/>
      <c r="F111" s="194"/>
      <c r="G111" s="222" t="s">
        <v>61</v>
      </c>
      <c r="H111" s="179" t="s">
        <v>37</v>
      </c>
      <c r="I111" s="200">
        <f ca="1">IFERROR(__xludf.DUMMYFUNCTION("IMPORTRANGE(""https://docs.google.com/spreadsheets/d/1yGy89TWty5kAjAO5OL1fLLQ_DL8fVJHFf2LvMm8qymA/edit?usp=sharing"",""รวมเหนือ!I111"")+IMPORTRANGE(""https://docs.google.com/spreadsheets/d/1bWGR5Y7oTgtZIep2hLdTHG-chM0w9aHBSSpJHwm6lak/edit?usp=sharing"","""&amp;"รวมตะวันออกเฉียงเหนือ!I111"")+IMPORTRANGE(""https://docs.google.com/spreadsheets/d/1dCxWUCc_SKNp-qd8qsaa5pPX_-BuQqWJ_-8FnsS4Ki0/edit?usp=sharing"",""รวมกลาง!I111"")+IMPORTRANGE(""https://docs.google.com/spreadsheets/d/1uOzBKYgpuhMUe0xXQLXSct3xZ80hakAMJHdG"&amp;"Jh9616E/edit?usp=sharing"",""รวมใต้!I111"")"),150)</f>
        <v>150</v>
      </c>
      <c r="J111" s="187">
        <f ca="1">IFERROR(__xludf.DUMMYFUNCTION("IMPORTRANGE(""https://docs.google.com/spreadsheets/d/1yGy89TWty5kAjAO5OL1fLLQ_DL8fVJHFf2LvMm8qymA/edit?usp=sharing"",""รวมเหนือ!J111"")+IMPORTRANGE(""https://docs.google.com/spreadsheets/d/1bWGR5Y7oTgtZIep2hLdTHG-chM0w9aHBSSpJHwm6lak/edit?usp=sharing"","""&amp;"รวมตะวันออกเฉียงเหนือ!J111"")+IMPORTRANGE(""https://docs.google.com/spreadsheets/d/1dCxWUCc_SKNp-qd8qsaa5pPX_-BuQqWJ_-8FnsS4Ki0/edit?usp=sharing"",""รวมกลาง!J111"")+IMPORTRANGE(""https://docs.google.com/spreadsheets/d/1uOzBKYgpuhMUe0xXQLXSct3xZ80hakAMJHdG"&amp;"Jh9616E/edit?usp=sharing"",""รวมใต้!J111"")"),121)</f>
        <v>121</v>
      </c>
      <c r="K111" s="221">
        <f t="shared" ca="1" si="59"/>
        <v>80.666666666666671</v>
      </c>
      <c r="L111" s="165"/>
      <c r="M111" s="165"/>
      <c r="N111" s="165"/>
      <c r="O111" s="180"/>
      <c r="P111" s="180"/>
    </row>
    <row r="112" spans="1:16" ht="21.75" customHeight="1" x14ac:dyDescent="0.3">
      <c r="A112" s="174"/>
      <c r="B112" s="175"/>
      <c r="C112" s="175"/>
      <c r="D112" s="192"/>
      <c r="E112" s="196"/>
      <c r="F112" s="194"/>
      <c r="G112" s="223" t="s">
        <v>62</v>
      </c>
      <c r="H112" s="179" t="s">
        <v>37</v>
      </c>
      <c r="I112" s="200">
        <f ca="1">IFERROR(__xludf.DUMMYFUNCTION("IMPORTRANGE(""https://docs.google.com/spreadsheets/d/1yGy89TWty5kAjAO5OL1fLLQ_DL8fVJHFf2LvMm8qymA/edit?usp=sharing"",""รวมเหนือ!I112"")+IMPORTRANGE(""https://docs.google.com/spreadsheets/d/1bWGR5Y7oTgtZIep2hLdTHG-chM0w9aHBSSpJHwm6lak/edit?usp=sharing"","""&amp;"รวมตะวันออกเฉียงเหนือ!I112"")+IMPORTRANGE(""https://docs.google.com/spreadsheets/d/1dCxWUCc_SKNp-qd8qsaa5pPX_-BuQqWJ_-8FnsS4Ki0/edit?usp=sharing"",""รวมกลาง!I112"")+IMPORTRANGE(""https://docs.google.com/spreadsheets/d/1uOzBKYgpuhMUe0xXQLXSct3xZ80hakAMJHdG"&amp;"Jh9616E/edit?usp=sharing"",""รวมใต้!I112"")"),150)</f>
        <v>150</v>
      </c>
      <c r="J112" s="187">
        <f ca="1">IFERROR(__xludf.DUMMYFUNCTION("IMPORTRANGE(""https://docs.google.com/spreadsheets/d/1yGy89TWty5kAjAO5OL1fLLQ_DL8fVJHFf2LvMm8qymA/edit?usp=sharing"",""รวมเหนือ!J112"")+IMPORTRANGE(""https://docs.google.com/spreadsheets/d/1bWGR5Y7oTgtZIep2hLdTHG-chM0w9aHBSSpJHwm6lak/edit?usp=sharing"","""&amp;"รวมตะวันออกเฉียงเหนือ!J112"")+IMPORTRANGE(""https://docs.google.com/spreadsheets/d/1dCxWUCc_SKNp-qd8qsaa5pPX_-BuQqWJ_-8FnsS4Ki0/edit?usp=sharing"",""รวมกลาง!J112"")+IMPORTRANGE(""https://docs.google.com/spreadsheets/d/1uOzBKYgpuhMUe0xXQLXSct3xZ80hakAMJHdG"&amp;"Jh9616E/edit?usp=sharing"",""รวมใต้!J112"")"),139)</f>
        <v>139</v>
      </c>
      <c r="K112" s="221">
        <f t="shared" ca="1" si="59"/>
        <v>92.666666666666671</v>
      </c>
      <c r="L112" s="165"/>
      <c r="M112" s="165"/>
      <c r="N112" s="165"/>
      <c r="O112" s="180"/>
      <c r="P112" s="180"/>
    </row>
    <row r="113" spans="1:16" ht="21.75" customHeight="1" x14ac:dyDescent="0.3">
      <c r="A113" s="174"/>
      <c r="B113" s="175"/>
      <c r="C113" s="175"/>
      <c r="D113" s="192"/>
      <c r="E113" s="196"/>
      <c r="F113" s="194" t="s">
        <v>63</v>
      </c>
      <c r="G113" s="194"/>
      <c r="H113" s="179" t="s">
        <v>56</v>
      </c>
      <c r="I113" s="200">
        <f ca="1">IFERROR(__xludf.DUMMYFUNCTION("IMPORTRANGE(""https://docs.google.com/spreadsheets/d/1yGy89TWty5kAjAO5OL1fLLQ_DL8fVJHFf2LvMm8qymA/edit?usp=sharing"",""รวมเหนือ!I113"")+IMPORTRANGE(""https://docs.google.com/spreadsheets/d/1bWGR5Y7oTgtZIep2hLdTHG-chM0w9aHBSSpJHwm6lak/edit?usp=sharing"","""&amp;"รวมตะวันออกเฉียงเหนือ!I113"")+IMPORTRANGE(""https://docs.google.com/spreadsheets/d/1dCxWUCc_SKNp-qd8qsaa5pPX_-BuQqWJ_-8FnsS4Ki0/edit?usp=sharing"",""รวมกลาง!I113"")+IMPORTRANGE(""https://docs.google.com/spreadsheets/d/1uOzBKYgpuhMUe0xXQLXSct3xZ80hakAMJHdG"&amp;"Jh9616E/edit?usp=sharing"",""รวมใต้!I113"")"),40)</f>
        <v>40</v>
      </c>
      <c r="J113" s="187">
        <f ca="1">IFERROR(__xludf.DUMMYFUNCTION("IMPORTRANGE(""https://docs.google.com/spreadsheets/d/1yGy89TWty5kAjAO5OL1fLLQ_DL8fVJHFf2LvMm8qymA/edit?usp=sharing"",""รวมเหนือ!J113"")+IMPORTRANGE(""https://docs.google.com/spreadsheets/d/1bWGR5Y7oTgtZIep2hLdTHG-chM0w9aHBSSpJHwm6lak/edit?usp=sharing"","""&amp;"รวมตะวันออกเฉียงเหนือ!J113"")+IMPORTRANGE(""https://docs.google.com/spreadsheets/d/1dCxWUCc_SKNp-qd8qsaa5pPX_-BuQqWJ_-8FnsS4Ki0/edit?usp=sharing"",""รวมกลาง!J113"")+IMPORTRANGE(""https://docs.google.com/spreadsheets/d/1uOzBKYgpuhMUe0xXQLXSct3xZ80hakAMJHdG"&amp;"Jh9616E/edit?usp=sharing"",""รวมใต้!J113"")"),34)</f>
        <v>34</v>
      </c>
      <c r="K113" s="221">
        <f t="shared" ca="1" si="59"/>
        <v>85</v>
      </c>
      <c r="L113" s="165"/>
      <c r="M113" s="165"/>
      <c r="N113" s="165"/>
      <c r="O113" s="180"/>
      <c r="P113" s="180"/>
    </row>
    <row r="114" spans="1:16" ht="21.75" customHeight="1" x14ac:dyDescent="0.3">
      <c r="A114" s="174"/>
      <c r="B114" s="175"/>
      <c r="C114" s="175"/>
      <c r="D114" s="192"/>
      <c r="E114" s="193" t="s">
        <v>51</v>
      </c>
      <c r="F114" s="194"/>
      <c r="G114" s="195"/>
      <c r="H114" s="185"/>
      <c r="I114" s="186"/>
      <c r="J114" s="186">
        <f ca="1">IFERROR(__xludf.DUMMYFUNCTION("IMPORTRANGE(""https://docs.google.com/spreadsheets/d/1yGy89TWty5kAjAO5OL1fLLQ_DL8fVJHFf2LvMm8qymA/edit?usp=sharing"",""รวมเหนือ!J114"")+IMPORTRANGE(""https://docs.google.com/spreadsheets/d/1bWGR5Y7oTgtZIep2hLdTHG-chM0w9aHBSSpJHwm6lak/edit?usp=sharing"","""&amp;"รวมตะวันออกเฉียงเหนือ!J114"")+IMPORTRANGE(""https://docs.google.com/spreadsheets/d/1dCxWUCc_SKNp-qd8qsaa5pPX_-BuQqWJ_-8FnsS4Ki0/edit?usp=sharing"",""รวมกลาง!J114"")+IMPORTRANGE(""https://docs.google.com/spreadsheets/d/1uOzBKYgpuhMUe0xXQLXSct3xZ80hakAMJHdG"&amp;"Jh9616E/edit?usp=sharing"",""รวมใต้!J114"")"),1)</f>
        <v>1</v>
      </c>
      <c r="K114" s="221"/>
      <c r="L114" s="165"/>
      <c r="M114" s="165"/>
      <c r="N114" s="165"/>
      <c r="O114" s="180"/>
      <c r="P114" s="180"/>
    </row>
    <row r="115" spans="1:16" ht="21.75" customHeight="1" x14ac:dyDescent="0.3">
      <c r="A115" s="174"/>
      <c r="B115" s="175"/>
      <c r="C115" s="175"/>
      <c r="D115" s="202">
        <v>3</v>
      </c>
      <c r="E115" s="203" t="s">
        <v>52</v>
      </c>
      <c r="F115" s="204"/>
      <c r="G115" s="205"/>
      <c r="H115" s="185"/>
      <c r="I115" s="186"/>
      <c r="J115" s="206">
        <f ca="1">IFERROR(__xludf.DUMMYFUNCTION("IMPORTRANGE(""https://docs.google.com/spreadsheets/d/1yGy89TWty5kAjAO5OL1fLLQ_DL8fVJHFf2LvMm8qymA/edit?usp=sharing"",""รวมเหนือ!J115"")+IMPORTRANGE(""https://docs.google.com/spreadsheets/d/1bWGR5Y7oTgtZIep2hLdTHG-chM0w9aHBSSpJHwm6lak/edit?usp=sharing"","""&amp;"รวมตะวันออกเฉียงเหนือ!J115"")+IMPORTRANGE(""https://docs.google.com/spreadsheets/d/1dCxWUCc_SKNp-qd8qsaa5pPX_-BuQqWJ_-8FnsS4Ki0/edit?usp=sharing"",""รวมกลาง!J115"")+IMPORTRANGE(""https://docs.google.com/spreadsheets/d/1uOzBKYgpuhMUe0xXQLXSct3xZ80hakAMJHdG"&amp;"Jh9616E/edit?usp=sharing"",""รวมใต้!J115"")"),0)</f>
        <v>0</v>
      </c>
      <c r="K115" s="221"/>
      <c r="L115" s="165"/>
      <c r="M115" s="165"/>
      <c r="N115" s="165"/>
      <c r="O115" s="180"/>
      <c r="P115" s="180"/>
    </row>
    <row r="116" spans="1:16" ht="21.75" customHeight="1" x14ac:dyDescent="0.3">
      <c r="A116" s="207" t="s">
        <v>64</v>
      </c>
      <c r="B116" s="224"/>
      <c r="C116" s="225"/>
      <c r="D116" s="224"/>
      <c r="E116" s="226"/>
      <c r="F116" s="226"/>
      <c r="G116" s="227"/>
      <c r="H116" s="212"/>
      <c r="I116" s="213"/>
      <c r="J116" s="213"/>
      <c r="K116" s="214"/>
      <c r="L116" s="215"/>
      <c r="M116" s="215"/>
      <c r="N116" s="215"/>
      <c r="O116" s="216"/>
      <c r="P116" s="216"/>
    </row>
    <row r="117" spans="1:16" ht="21.75" customHeight="1" x14ac:dyDescent="0.3">
      <c r="A117" s="138"/>
      <c r="B117" s="139" t="s">
        <v>65</v>
      </c>
      <c r="C117" s="228"/>
      <c r="D117" s="140"/>
      <c r="E117" s="139"/>
      <c r="F117" s="139"/>
      <c r="G117" s="217"/>
      <c r="H117" s="141" t="s">
        <v>37</v>
      </c>
      <c r="I117" s="142">
        <f ca="1">IFERROR(__xludf.DUMMYFUNCTION("IMPORTRANGE(""https://docs.google.com/spreadsheets/d/1yGy89TWty5kAjAO5OL1fLLQ_DL8fVJHFf2LvMm8qymA/edit?usp=sharing"",""รวมเหนือ!I117"")+IMPORTRANGE(""https://docs.google.com/spreadsheets/d/1bWGR5Y7oTgtZIep2hLdTHG-chM0w9aHBSSpJHwm6lak/edit?usp=sharing"","""&amp;"รวมตะวันออกเฉียงเหนือ!I117"")+IMPORTRANGE(""https://docs.google.com/spreadsheets/d/1dCxWUCc_SKNp-qd8qsaa5pPX_-BuQqWJ_-8FnsS4Ki0/edit?usp=sharing"",""รวมกลาง!I117"")+IMPORTRANGE(""https://docs.google.com/spreadsheets/d/1uOzBKYgpuhMUe0xXQLXSct3xZ80hakAMJHdG"&amp;"Jh9616E/edit?usp=sharing"",""รวมใต้!I117"")"),500)</f>
        <v>500</v>
      </c>
      <c r="J117" s="142">
        <f ca="1">IFERROR(__xludf.DUMMYFUNCTION("IMPORTRANGE(""https://docs.google.com/spreadsheets/d/1yGy89TWty5kAjAO5OL1fLLQ_DL8fVJHFf2LvMm8qymA/edit?usp=sharing"",""รวมเหนือ!J117"")+IMPORTRANGE(""https://docs.google.com/spreadsheets/d/1bWGR5Y7oTgtZIep2hLdTHG-chM0w9aHBSSpJHwm6lak/edit?usp=sharing"","""&amp;"รวมตะวันออกเฉียงเหนือ!J117"")+IMPORTRANGE(""https://docs.google.com/spreadsheets/d/1dCxWUCc_SKNp-qd8qsaa5pPX_-BuQqWJ_-8FnsS4Ki0/edit?usp=sharing"",""รวมกลาง!J117"")+IMPORTRANGE(""https://docs.google.com/spreadsheets/d/1uOzBKYgpuhMUe0xXQLXSct3xZ80hakAMJHdG"&amp;"Jh9616E/edit?usp=sharing"",""รวมใต้!J117"")"),500)</f>
        <v>500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4">
      <c r="A118" s="146"/>
      <c r="B118" s="147"/>
      <c r="C118" s="148" t="s">
        <v>16</v>
      </c>
      <c r="D118" s="533" t="s">
        <v>17</v>
      </c>
      <c r="E118" s="534"/>
      <c r="F118" s="534"/>
      <c r="G118" s="534"/>
      <c r="H118" s="149" t="s">
        <v>12</v>
      </c>
      <c r="I118" s="162"/>
      <c r="J118" s="162"/>
      <c r="K118" s="163"/>
      <c r="L118" s="152">
        <f t="shared" ref="L118:N118" ca="1" si="60">L119+L120</f>
        <v>5113000</v>
      </c>
      <c r="M118" s="152">
        <f t="shared" ca="1" si="60"/>
        <v>3834700</v>
      </c>
      <c r="N118" s="152">
        <f t="shared" ca="1" si="60"/>
        <v>1566376.79</v>
      </c>
      <c r="O118" s="151">
        <f t="shared" ref="O118:O120" ca="1" si="61">IF(L118&gt;0,N118*100/L118,0)</f>
        <v>30.635180715822415</v>
      </c>
      <c r="P118" s="151">
        <f t="shared" ref="P118:P122" ca="1" si="62">IF(M118&gt;0,N118*100/M118,0)</f>
        <v>40.847440216966127</v>
      </c>
    </row>
    <row r="119" spans="1:16" ht="21.75" customHeight="1" x14ac:dyDescent="0.4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ca="1" si="63">L121+L125</f>
        <v>3027520</v>
      </c>
      <c r="M119" s="157">
        <f t="shared" ca="1" si="63"/>
        <v>1749220</v>
      </c>
      <c r="N119" s="157">
        <f t="shared" ca="1" si="63"/>
        <v>415254.19</v>
      </c>
      <c r="O119" s="156">
        <f t="shared" ca="1" si="61"/>
        <v>13.715985030652151</v>
      </c>
      <c r="P119" s="156">
        <f t="shared" ca="1" si="62"/>
        <v>23.739391843221551</v>
      </c>
    </row>
    <row r="120" spans="1:16" ht="21.75" customHeight="1" x14ac:dyDescent="0.4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4">L122+L126</f>
        <v>2085480</v>
      </c>
      <c r="M120" s="157">
        <f t="shared" ca="1" si="64"/>
        <v>2085480</v>
      </c>
      <c r="N120" s="157">
        <f t="shared" ca="1" si="64"/>
        <v>1151122.6000000001</v>
      </c>
      <c r="O120" s="156">
        <f t="shared" ca="1" si="61"/>
        <v>55.197009801100954</v>
      </c>
      <c r="P120" s="156">
        <f t="shared" ca="1" si="62"/>
        <v>55.197009801100954</v>
      </c>
    </row>
    <row r="121" spans="1:16" ht="21.75" customHeight="1" x14ac:dyDescent="0.4">
      <c r="A121" s="158"/>
      <c r="B121" s="159"/>
      <c r="C121" s="159" t="s">
        <v>16</v>
      </c>
      <c r="D121" s="535" t="s">
        <v>20</v>
      </c>
      <c r="E121" s="532"/>
      <c r="F121" s="532"/>
      <c r="G121" s="160" t="s">
        <v>38</v>
      </c>
      <c r="H121" s="168" t="s">
        <v>12</v>
      </c>
      <c r="I121" s="162" t="s">
        <v>39</v>
      </c>
      <c r="J121" s="162"/>
      <c r="K121" s="163"/>
      <c r="L121" s="164">
        <f ca="1">IFERROR(__xludf.DUMMYFUNCTION("IMPORTRANGE(""https://docs.google.com/spreadsheets/d/1Yj_ptqi66GCucihVvJfMjLAmec39IyEx_6qawtMGysU/edit?usp=sharing"",""สบก!AV15"")"),3027520)</f>
        <v>3027520</v>
      </c>
      <c r="M121" s="164">
        <f ca="1">IFERROR(__xludf.DUMMYFUNCTION("IMPORTRANGE(""https://docs.google.com/spreadsheets/d/1Yj_ptqi66GCucihVvJfMjLAmec39IyEx_6qawtMGysU/edit?usp=sharing"",""สบก!BA15"")"),1749220)</f>
        <v>1749220</v>
      </c>
      <c r="N121" s="164">
        <f ca="1">IFERROR(__xludf.DUMMYFUNCTION("IMPORTRANGE(""https://docs.google.com/spreadsheets/d/1Yj_ptqi66GCucihVvJfMjLAmec39IyEx_6qawtMGysU/edit?usp=sharing"",""สบก!BB15"")"),415254.19)</f>
        <v>415254.19</v>
      </c>
      <c r="O121" s="165">
        <f ca="1">+IF(L121&gt;0,N121*100/L121,0)</f>
        <v>13.715985030652151</v>
      </c>
      <c r="P121" s="165">
        <f t="shared" ca="1" si="62"/>
        <v>23.739391843221551</v>
      </c>
    </row>
    <row r="122" spans="1:16" ht="21.75" customHeight="1" x14ac:dyDescent="0.3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8" t="s">
        <v>12</v>
      </c>
      <c r="I122" s="162"/>
      <c r="J122" s="162"/>
      <c r="K122" s="163"/>
      <c r="L122" s="164">
        <f ca="1">IFERROR(__xludf.DUMMYFUNCTION("IMPORTRANGE(""https://docs.google.com/spreadsheets/d/1yGy89TWty5kAjAO5OL1fLLQ_DL8fVJHFf2LvMm8qymA/edit?usp=sharing"",""รวมเหนือ!L122"")+IMPORTRANGE(""https://docs.google.com/spreadsheets/d/1bWGR5Y7oTgtZIep2hLdTHG-chM0w9aHBSSpJHwm6lak/edit?usp=sharing"","""&amp;"รวมตะวันออกเฉียงเหนือ!L122"")+IMPORTRANGE(""https://docs.google.com/spreadsheets/d/1dCxWUCc_SKNp-qd8qsaa5pPX_-BuQqWJ_-8FnsS4Ki0/edit?usp=sharing"",""รวมกลาง!L122"")+IMPORTRANGE(""https://docs.google.com/spreadsheets/d/1uOzBKYgpuhMUe0xXQLXSct3xZ80hakAMJHdG"&amp;"Jh9616E/edit?usp=sharing"",""รวมใต้!L122"")"),2085480)</f>
        <v>2085480</v>
      </c>
      <c r="M122" s="164">
        <f ca="1">IFERROR(__xludf.DUMMYFUNCTION("IMPORTRANGE(""https://docs.google.com/spreadsheets/d/1yGy89TWty5kAjAO5OL1fLLQ_DL8fVJHFf2LvMm8qymA/edit?usp=sharing"",""รวมเหนือ!M122"")+IMPORTRANGE(""https://docs.google.com/spreadsheets/d/1bWGR5Y7oTgtZIep2hLdTHG-chM0w9aHBSSpJHwm6lak/edit?usp=sharing"","""&amp;"รวมตะวันออกเฉียงเหนือ!M122"")+IMPORTRANGE(""https://docs.google.com/spreadsheets/d/1dCxWUCc_SKNp-qd8qsaa5pPX_-BuQqWJ_-8FnsS4Ki0/edit?usp=sharing"",""รวมกลาง!M122"")+IMPORTRANGE(""https://docs.google.com/spreadsheets/d/1uOzBKYgpuhMUe0xXQLXSct3xZ80hakAMJHdG"&amp;"Jh9616E/edit?usp=sharing"",""รวมใต้!M122"")"),2085480)</f>
        <v>2085480</v>
      </c>
      <c r="N122" s="165">
        <f ca="1">IFERROR(__xludf.DUMMYFUNCTION("IMPORTRANGE(""https://docs.google.com/spreadsheets/d/1yGy89TWty5kAjAO5OL1fLLQ_DL8fVJHFf2LvMm8qymA/edit?usp=sharing"",""รวมเหนือ!N122"")+IMPORTRANGE(""https://docs.google.com/spreadsheets/d/1bWGR5Y7oTgtZIep2hLdTHG-chM0w9aHBSSpJHwm6lak/edit?usp=sharing"","""&amp;"รวมตะวันออกเฉียงเหนือ!N122"")+IMPORTRANGE(""https://docs.google.com/spreadsheets/d/1dCxWUCc_SKNp-qd8qsaa5pPX_-BuQqWJ_-8FnsS4Ki0/edit?usp=sharing"",""รวมกลาง!N122"")+IMPORTRANGE(""https://docs.google.com/spreadsheets/d/1uOzBKYgpuhMUe0xXQLXSct3xZ80hakAMJHdG"&amp;"Jh9616E/edit?usp=sharing"",""รวมใต้!N122"")"),1151122.6)</f>
        <v>1151122.6000000001</v>
      </c>
      <c r="O122" s="165">
        <f ca="1">IF(L122&gt;0,N122*100/L122,0)</f>
        <v>55.197009801100954</v>
      </c>
      <c r="P122" s="165">
        <f t="shared" ca="1" si="62"/>
        <v>55.197009801100954</v>
      </c>
    </row>
    <row r="123" spans="1:16" ht="21.75" customHeight="1" x14ac:dyDescent="0.4">
      <c r="A123" s="158"/>
      <c r="B123" s="159"/>
      <c r="C123" s="159"/>
      <c r="D123" s="166"/>
      <c r="E123" s="167"/>
      <c r="F123" s="167"/>
      <c r="G123" s="34" t="s">
        <v>21</v>
      </c>
      <c r="H123" s="168" t="s">
        <v>12</v>
      </c>
      <c r="I123" s="162"/>
      <c r="J123" s="162"/>
      <c r="K123" s="163"/>
      <c r="L123" s="164">
        <f ca="1">IFERROR(__xludf.DUMMYFUNCTION("IMPORTRANGE(""https://docs.google.com/spreadsheets/d/1yGy89TWty5kAjAO5OL1fLLQ_DL8fVJHFf2LvMm8qymA/edit?usp=sharing"",""รวมเหนือ!L123"")+IMPORTRANGE(""https://docs.google.com/spreadsheets/d/1bWGR5Y7oTgtZIep2hLdTHG-chM0w9aHBSSpJHwm6lak/edit?usp=sharing"","""&amp;"รวมตะวันออกเฉียงเหนือ!L123"")+IMPORTRANGE(""https://docs.google.com/spreadsheets/d/1dCxWUCc_SKNp-qd8qsaa5pPX_-BuQqWJ_-8FnsS4Ki0/edit?usp=sharing"",""รวมกลาง!L123"")+IMPORTRANGE(""https://docs.google.com/spreadsheets/d/1uOzBKYgpuhMUe0xXQLXSct3xZ80hakAMJHdG"&amp;"Jh9616E/edit?usp=sharing"",""รวมใต้!L123"")"),0)</f>
        <v>0</v>
      </c>
      <c r="M123" s="164"/>
      <c r="N123" s="164"/>
      <c r="O123" s="165"/>
      <c r="P123" s="165"/>
    </row>
    <row r="124" spans="1:16" ht="21.75" customHeight="1" x14ac:dyDescent="0.4">
      <c r="A124" s="158"/>
      <c r="B124" s="159"/>
      <c r="C124" s="159"/>
      <c r="D124" s="166"/>
      <c r="E124" s="167"/>
      <c r="F124" s="167"/>
      <c r="G124" s="34" t="s">
        <v>22</v>
      </c>
      <c r="H124" s="168" t="s">
        <v>12</v>
      </c>
      <c r="I124" s="162"/>
      <c r="J124" s="186"/>
      <c r="K124" s="221"/>
      <c r="L124" s="164">
        <f ca="1">IFERROR(__xludf.DUMMYFUNCTION("IMPORTRANGE(""https://docs.google.com/spreadsheets/d/1yGy89TWty5kAjAO5OL1fLLQ_DL8fVJHFf2LvMm8qymA/edit?usp=sharing"",""รวมเหนือ!L124"")+IMPORTRANGE(""https://docs.google.com/spreadsheets/d/1bWGR5Y7oTgtZIep2hLdTHG-chM0w9aHBSSpJHwm6lak/edit?usp=sharing"","""&amp;"รวมตะวันออกเฉียงเหนือ!L124"")+IMPORTRANGE(""https://docs.google.com/spreadsheets/d/1dCxWUCc_SKNp-qd8qsaa5pPX_-BuQqWJ_-8FnsS4Ki0/edit?usp=sharing"",""รวมกลาง!L124"")+IMPORTRANGE(""https://docs.google.com/spreadsheets/d/1uOzBKYgpuhMUe0xXQLXSct3xZ80hakAMJHdG"&amp;"Jh9616E/edit?usp=sharing"",""รวมใต้!L124"")"),2085480)</f>
        <v>2085480</v>
      </c>
      <c r="M124" s="164"/>
      <c r="N124" s="164"/>
      <c r="O124" s="165"/>
      <c r="P124" s="165"/>
    </row>
    <row r="125" spans="1:16" ht="21.75" customHeight="1" x14ac:dyDescent="0.4">
      <c r="A125" s="169"/>
      <c r="B125" s="80"/>
      <c r="C125" s="81" t="s">
        <v>16</v>
      </c>
      <c r="D125" s="531" t="s">
        <v>23</v>
      </c>
      <c r="E125" s="532"/>
      <c r="F125" s="86"/>
      <c r="G125" s="82" t="s">
        <v>18</v>
      </c>
      <c r="H125" s="170" t="s">
        <v>12</v>
      </c>
      <c r="I125" s="186"/>
      <c r="J125" s="186"/>
      <c r="K125" s="221"/>
      <c r="L125" s="41">
        <f ca="1">IFERROR(__xludf.DUMMYFUNCTION("IMPORTRANGE(""https://docs.google.com/spreadsheets/d/1Yj_ptqi66GCucihVvJfMjLAmec39IyEx_6qawtMGysU/edit?usp=sharing"",""สบก!AY15"")"),0)</f>
        <v>0</v>
      </c>
      <c r="M125" s="41"/>
      <c r="N125" s="41">
        <f ca="1">IFERROR(__xludf.DUMMYFUNCTION("IMPORTRANGE(""https://docs.google.com/spreadsheets/d/1Yj_ptqi66GCucihVvJfMjLAmec39IyEx_6qawtMGysU/edit?usp=sharing"",""สบก!BC15"")"),0)</f>
        <v>0</v>
      </c>
      <c r="O125" s="120"/>
      <c r="P125" s="120"/>
    </row>
    <row r="126" spans="1:16" ht="21.75" customHeight="1" x14ac:dyDescent="0.4">
      <c r="A126" s="171"/>
      <c r="B126" s="89"/>
      <c r="C126" s="89"/>
      <c r="D126" s="172"/>
      <c r="E126" s="90"/>
      <c r="F126" s="90"/>
      <c r="G126" s="91" t="s">
        <v>19</v>
      </c>
      <c r="H126" s="173" t="s">
        <v>12</v>
      </c>
      <c r="I126" s="186"/>
      <c r="J126" s="186"/>
      <c r="K126" s="221"/>
      <c r="L126" s="49">
        <f ca="1">IFERROR(__xludf.DUMMYFUNCTION("IMPORTRANGE(""https://docs.google.com/spreadsheets/d/1yGy89TWty5kAjAO5OL1fLLQ_DL8fVJHFf2LvMm8qymA/edit?usp=sharing"",""รวมเหนือ!L126"")+IMPORTRANGE(""https://docs.google.com/spreadsheets/d/1bWGR5Y7oTgtZIep2hLdTHG-chM0w9aHBSSpJHwm6lak/edit?usp=sharing"","""&amp;"รวมตะวันออกเฉียงเหนือ!L126"")+IMPORTRANGE(""https://docs.google.com/spreadsheets/d/1dCxWUCc_SKNp-qd8qsaa5pPX_-BuQqWJ_-8FnsS4Ki0/edit?usp=sharing"",""รวมกลาง!L126"")+IMPORTRANGE(""https://docs.google.com/spreadsheets/d/1uOzBKYgpuhMUe0xXQLXSct3xZ80hakAMJHdG"&amp;"Jh9616E/edit?usp=sharing"",""รวมใต้!L126"")"),0)</f>
        <v>0</v>
      </c>
      <c r="M126" s="49"/>
      <c r="N126" s="49">
        <f ca="1">IFERROR(__xludf.DUMMYFUNCTION("IMPORTRANGE(""https://docs.google.com/spreadsheets/d/1yGy89TWty5kAjAO5OL1fLLQ_DL8fVJHFf2LvMm8qymA/edit?usp=sharing"",""รวมเหนือ!N126"")+IMPORTRANGE(""https://docs.google.com/spreadsheets/d/1bWGR5Y7oTgtZIep2hLdTHG-chM0w9aHBSSpJHwm6lak/edit?usp=sharing"","""&amp;"รวมตะวันออกเฉียงเหนือ!N126"")+IMPORTRANGE(""https://docs.google.com/spreadsheets/d/1dCxWUCc_SKNp-qd8qsaa5pPX_-BuQqWJ_-8FnsS4Ki0/edit?usp=sharing"",""รวมกลาง!N126"")+IMPORTRANGE(""https://docs.google.com/spreadsheets/d/1uOzBKYgpuhMUe0xXQLXSct3xZ80hakAMJHdG"&amp;"Jh9616E/edit?usp=sharing"",""รวมใต้!N126"")"),0)</f>
        <v>0</v>
      </c>
      <c r="O126" s="121">
        <f ca="1">IF(L126&gt;0,N126*100/L126,0)</f>
        <v>0</v>
      </c>
      <c r="P126" s="121"/>
    </row>
    <row r="127" spans="1:16" ht="21.75" customHeight="1" x14ac:dyDescent="0.3">
      <c r="A127" s="174"/>
      <c r="B127" s="175"/>
      <c r="C127" s="159" t="s">
        <v>16</v>
      </c>
      <c r="D127" s="229" t="s">
        <v>66</v>
      </c>
      <c r="E127" s="177"/>
      <c r="F127" s="177"/>
      <c r="G127" s="178"/>
      <c r="H127" s="179"/>
      <c r="I127" s="162"/>
      <c r="J127" s="186"/>
      <c r="K127" s="221"/>
      <c r="L127" s="165"/>
      <c r="M127" s="165"/>
      <c r="N127" s="165"/>
      <c r="O127" s="180"/>
      <c r="P127" s="180"/>
    </row>
    <row r="128" spans="1:16" ht="21.75" customHeight="1" x14ac:dyDescent="0.3">
      <c r="A128" s="174"/>
      <c r="B128" s="175"/>
      <c r="C128" s="175"/>
      <c r="D128" s="181">
        <v>1</v>
      </c>
      <c r="E128" s="182" t="s">
        <v>42</v>
      </c>
      <c r="F128" s="183"/>
      <c r="G128" s="184"/>
      <c r="H128" s="185"/>
      <c r="I128" s="186"/>
      <c r="J128" s="187">
        <f ca="1">IFERROR(__xludf.DUMMYFUNCTION("IMPORTRANGE(""https://docs.google.com/spreadsheets/d/1yGy89TWty5kAjAO5OL1fLLQ_DL8fVJHFf2LvMm8qymA/edit?usp=sharing"",""รวมเหนือ!J128"")+IMPORTRANGE(""https://docs.google.com/spreadsheets/d/1bWGR5Y7oTgtZIep2hLdTHG-chM0w9aHBSSpJHwm6lak/edit?usp=sharing"","""&amp;"รวมตะวันออกเฉียงเหนือ!J128"")+IMPORTRANGE(""https://docs.google.com/spreadsheets/d/1dCxWUCc_SKNp-qd8qsaa5pPX_-BuQqWJ_-8FnsS4Ki0/edit?usp=sharing"",""รวมกลาง!J128"")+IMPORTRANGE(""https://docs.google.com/spreadsheets/d/1uOzBKYgpuhMUe0xXQLXSct3xZ80hakAMJHdG"&amp;"Jh9616E/edit?usp=sharing"",""รวมใต้!J128"")"),0)</f>
        <v>0</v>
      </c>
      <c r="K128" s="221"/>
      <c r="L128" s="165"/>
      <c r="M128" s="165"/>
      <c r="N128" s="165"/>
      <c r="O128" s="180"/>
      <c r="P128" s="180"/>
    </row>
    <row r="129" spans="1:16" ht="21.75" customHeight="1" x14ac:dyDescent="0.3">
      <c r="A129" s="174"/>
      <c r="B129" s="175"/>
      <c r="C129" s="175"/>
      <c r="D129" s="188">
        <v>2</v>
      </c>
      <c r="E129" s="189" t="s">
        <v>43</v>
      </c>
      <c r="F129" s="190"/>
      <c r="G129" s="191"/>
      <c r="H129" s="185"/>
      <c r="I129" s="186"/>
      <c r="J129" s="186">
        <f ca="1">IFERROR(__xludf.DUMMYFUNCTION("IMPORTRANGE(""https://docs.google.com/spreadsheets/d/1yGy89TWty5kAjAO5OL1fLLQ_DL8fVJHFf2LvMm8qymA/edit?usp=sharing"",""รวมเหนือ!J129"")+IMPORTRANGE(""https://docs.google.com/spreadsheets/d/1bWGR5Y7oTgtZIep2hLdTHG-chM0w9aHBSSpJHwm6lak/edit?usp=sharing"","""&amp;"รวมตะวันออกเฉียงเหนือ!J129"")+IMPORTRANGE(""https://docs.google.com/spreadsheets/d/1dCxWUCc_SKNp-qd8qsaa5pPX_-BuQqWJ_-8FnsS4Ki0/edit?usp=sharing"",""รวมกลาง!J129"")+IMPORTRANGE(""https://docs.google.com/spreadsheets/d/1uOzBKYgpuhMUe0xXQLXSct3xZ80hakAMJHdG"&amp;"Jh9616E/edit?usp=sharing"",""รวมใต้!J129"")"),26)</f>
        <v>26</v>
      </c>
      <c r="K129" s="221"/>
      <c r="L129" s="165" t="s">
        <v>39</v>
      </c>
      <c r="M129" s="165"/>
      <c r="N129" s="165" t="s">
        <v>39</v>
      </c>
      <c r="O129" s="180"/>
      <c r="P129" s="180"/>
    </row>
    <row r="130" spans="1:16" ht="21.75" customHeight="1" x14ac:dyDescent="0.3">
      <c r="A130" s="174"/>
      <c r="B130" s="175"/>
      <c r="C130" s="175"/>
      <c r="D130" s="192"/>
      <c r="E130" s="193" t="s">
        <v>44</v>
      </c>
      <c r="F130" s="194"/>
      <c r="G130" s="195"/>
      <c r="H130" s="185"/>
      <c r="I130" s="186"/>
      <c r="J130" s="186">
        <f ca="1">IFERROR(__xludf.DUMMYFUNCTION("IMPORTRANGE(""https://docs.google.com/spreadsheets/d/1yGy89TWty5kAjAO5OL1fLLQ_DL8fVJHFf2LvMm8qymA/edit?usp=sharing"",""รวมเหนือ!J130"")+IMPORTRANGE(""https://docs.google.com/spreadsheets/d/1bWGR5Y7oTgtZIep2hLdTHG-chM0w9aHBSSpJHwm6lak/edit?usp=sharing"","""&amp;"รวมตะวันออกเฉียงเหนือ!J130"")+IMPORTRANGE(""https://docs.google.com/spreadsheets/d/1dCxWUCc_SKNp-qd8qsaa5pPX_-BuQqWJ_-8FnsS4Ki0/edit?usp=sharing"",""รวมกลาง!J130"")+IMPORTRANGE(""https://docs.google.com/spreadsheets/d/1uOzBKYgpuhMUe0xXQLXSct3xZ80hakAMJHdG"&amp;"Jh9616E/edit?usp=sharing"",""รวมใต้!J130"")"),26)</f>
        <v>26</v>
      </c>
      <c r="K130" s="221"/>
      <c r="L130" s="165"/>
      <c r="M130" s="165"/>
      <c r="N130" s="165"/>
      <c r="O130" s="180"/>
      <c r="P130" s="180"/>
    </row>
    <row r="131" spans="1:16" ht="21.75" customHeight="1" x14ac:dyDescent="0.3">
      <c r="A131" s="174"/>
      <c r="B131" s="175"/>
      <c r="C131" s="175"/>
      <c r="D131" s="192"/>
      <c r="E131" s="193" t="s">
        <v>45</v>
      </c>
      <c r="F131" s="194"/>
      <c r="G131" s="195"/>
      <c r="H131" s="185"/>
      <c r="I131" s="186"/>
      <c r="J131" s="186">
        <f ca="1">IFERROR(__xludf.DUMMYFUNCTION("IMPORTRANGE(""https://docs.google.com/spreadsheets/d/1yGy89TWty5kAjAO5OL1fLLQ_DL8fVJHFf2LvMm8qymA/edit?usp=sharing"",""รวมเหนือ!J131"")+IMPORTRANGE(""https://docs.google.com/spreadsheets/d/1bWGR5Y7oTgtZIep2hLdTHG-chM0w9aHBSSpJHwm6lak/edit?usp=sharing"","""&amp;"รวมตะวันออกเฉียงเหนือ!J131"")+IMPORTRANGE(""https://docs.google.com/spreadsheets/d/1dCxWUCc_SKNp-qd8qsaa5pPX_-BuQqWJ_-8FnsS4Ki0/edit?usp=sharing"",""รวมกลาง!J131"")+IMPORTRANGE(""https://docs.google.com/spreadsheets/d/1uOzBKYgpuhMUe0xXQLXSct3xZ80hakAMJHdG"&amp;"Jh9616E/edit?usp=sharing"",""รวมใต้!J131"")"),23)</f>
        <v>23</v>
      </c>
      <c r="K131" s="221"/>
      <c r="L131" s="165"/>
      <c r="M131" s="165"/>
      <c r="N131" s="165"/>
      <c r="O131" s="180"/>
      <c r="P131" s="180"/>
    </row>
    <row r="132" spans="1:16" ht="21.75" customHeight="1" x14ac:dyDescent="0.3">
      <c r="A132" s="174"/>
      <c r="B132" s="175"/>
      <c r="C132" s="175"/>
      <c r="D132" s="192"/>
      <c r="E132" s="196"/>
      <c r="F132" s="193" t="s">
        <v>67</v>
      </c>
      <c r="G132" s="195"/>
      <c r="H132" s="179" t="s">
        <v>37</v>
      </c>
      <c r="I132" s="186">
        <f ca="1">IFERROR(__xludf.DUMMYFUNCTION("IMPORTRANGE(""https://docs.google.com/spreadsheets/d/1yGy89TWty5kAjAO5OL1fLLQ_DL8fVJHFf2LvMm8qymA/edit?usp=sharing"",""รวมเหนือ!I132"")+IMPORTRANGE(""https://docs.google.com/spreadsheets/d/1bWGR5Y7oTgtZIep2hLdTHG-chM0w9aHBSSpJHwm6lak/edit?usp=sharing"","""&amp;"รวมตะวันออกเฉียงเหนือ!I132"")+IMPORTRANGE(""https://docs.google.com/spreadsheets/d/1dCxWUCc_SKNp-qd8qsaa5pPX_-BuQqWJ_-8FnsS4Ki0/edit?usp=sharing"",""รวมกลาง!I132"")+IMPORTRANGE(""https://docs.google.com/spreadsheets/d/1uOzBKYgpuhMUe0xXQLXSct3xZ80hakAMJHdG"&amp;"Jh9616E/edit?usp=sharing"",""รวมใต้!I132"")"),500)</f>
        <v>500</v>
      </c>
      <c r="J132" s="187">
        <f ca="1">IFERROR(__xludf.DUMMYFUNCTION("IMPORTRANGE(""https://docs.google.com/spreadsheets/d/1yGy89TWty5kAjAO5OL1fLLQ_DL8fVJHFf2LvMm8qymA/edit?usp=sharing"",""รวมเหนือ!J132"")+IMPORTRANGE(""https://docs.google.com/spreadsheets/d/1bWGR5Y7oTgtZIep2hLdTHG-chM0w9aHBSSpJHwm6lak/edit?usp=sharing"","""&amp;"รวมตะวันออกเฉียงเหนือ!J132"")+IMPORTRANGE(""https://docs.google.com/spreadsheets/d/1dCxWUCc_SKNp-qd8qsaa5pPX_-BuQqWJ_-8FnsS4Ki0/edit?usp=sharing"",""รวมกลาง!J132"")+IMPORTRANGE(""https://docs.google.com/spreadsheets/d/1uOzBKYgpuhMUe0xXQLXSct3xZ80hakAMJHdG"&amp;"Jh9616E/edit?usp=sharing"",""รวมใต้!J132"")"),500)</f>
        <v>500</v>
      </c>
      <c r="K132" s="221">
        <f t="shared" ref="K132:K133" ca="1" si="65">IF(I132&gt;0,J132*100/I132,0)</f>
        <v>100</v>
      </c>
      <c r="L132" s="165"/>
      <c r="M132" s="165"/>
      <c r="N132" s="165"/>
      <c r="O132" s="180"/>
      <c r="P132" s="180"/>
    </row>
    <row r="133" spans="1:16" ht="21.75" customHeight="1" x14ac:dyDescent="0.3">
      <c r="A133" s="174"/>
      <c r="B133" s="175"/>
      <c r="C133" s="175"/>
      <c r="D133" s="192"/>
      <c r="E133" s="196"/>
      <c r="F133" s="193" t="s">
        <v>68</v>
      </c>
      <c r="G133" s="195"/>
      <c r="H133" s="179" t="s">
        <v>37</v>
      </c>
      <c r="I133" s="186">
        <f ca="1">IFERROR(__xludf.DUMMYFUNCTION("IMPORTRANGE(""https://docs.google.com/spreadsheets/d/1yGy89TWty5kAjAO5OL1fLLQ_DL8fVJHFf2LvMm8qymA/edit?usp=sharing"",""รวมเหนือ!I133"")+IMPORTRANGE(""https://docs.google.com/spreadsheets/d/1bWGR5Y7oTgtZIep2hLdTHG-chM0w9aHBSSpJHwm6lak/edit?usp=sharing"","""&amp;"รวมตะวันออกเฉียงเหนือ!I133"")+IMPORTRANGE(""https://docs.google.com/spreadsheets/d/1dCxWUCc_SKNp-qd8qsaa5pPX_-BuQqWJ_-8FnsS4Ki0/edit?usp=sharing"",""รวมกลาง!I133"")+IMPORTRANGE(""https://docs.google.com/spreadsheets/d/1uOzBKYgpuhMUe0xXQLXSct3xZ80hakAMJHdG"&amp;"Jh9616E/edit?usp=sharing"",""รวมใต้!I133"")"),500)</f>
        <v>500</v>
      </c>
      <c r="J133" s="187">
        <f ca="1">IFERROR(__xludf.DUMMYFUNCTION("IMPORTRANGE(""https://docs.google.com/spreadsheets/d/1yGy89TWty5kAjAO5OL1fLLQ_DL8fVJHFf2LvMm8qymA/edit?usp=sharing"",""รวมเหนือ!J133"")+IMPORTRANGE(""https://docs.google.com/spreadsheets/d/1bWGR5Y7oTgtZIep2hLdTHG-chM0w9aHBSSpJHwm6lak/edit?usp=sharing"","""&amp;"รวมตะวันออกเฉียงเหนือ!J133"")+IMPORTRANGE(""https://docs.google.com/spreadsheets/d/1dCxWUCc_SKNp-qd8qsaa5pPX_-BuQqWJ_-8FnsS4Ki0/edit?usp=sharing"",""รวมกลาง!J133"")+IMPORTRANGE(""https://docs.google.com/spreadsheets/d/1uOzBKYgpuhMUe0xXQLXSct3xZ80hakAMJHdG"&amp;"Jh9616E/edit?usp=sharing"",""รวมใต้!J133"")"),350)</f>
        <v>350</v>
      </c>
      <c r="K133" s="221">
        <f t="shared" ca="1" si="65"/>
        <v>70</v>
      </c>
      <c r="L133" s="165"/>
      <c r="M133" s="165"/>
      <c r="N133" s="165"/>
      <c r="O133" s="180"/>
      <c r="P133" s="180"/>
    </row>
    <row r="134" spans="1:16" ht="21.75" customHeight="1" x14ac:dyDescent="0.3">
      <c r="A134" s="174"/>
      <c r="B134" s="175"/>
      <c r="C134" s="175"/>
      <c r="D134" s="192"/>
      <c r="E134" s="193" t="s">
        <v>51</v>
      </c>
      <c r="F134" s="194"/>
      <c r="G134" s="195"/>
      <c r="H134" s="185"/>
      <c r="I134" s="186"/>
      <c r="J134" s="186">
        <f ca="1">IFERROR(__xludf.DUMMYFUNCTION("IMPORTRANGE(""https://docs.google.com/spreadsheets/d/1yGy89TWty5kAjAO5OL1fLLQ_DL8fVJHFf2LvMm8qymA/edit?usp=sharing"",""รวมเหนือ!J134"")+IMPORTRANGE(""https://docs.google.com/spreadsheets/d/1bWGR5Y7oTgtZIep2hLdTHG-chM0w9aHBSSpJHwm6lak/edit?usp=sharing"","""&amp;"รวมตะวันออกเฉียงเหนือ!J134"")+IMPORTRANGE(""https://docs.google.com/spreadsheets/d/1dCxWUCc_SKNp-qd8qsaa5pPX_-BuQqWJ_-8FnsS4Ki0/edit?usp=sharing"",""รวมกลาง!J134"")+IMPORTRANGE(""https://docs.google.com/spreadsheets/d/1uOzBKYgpuhMUe0xXQLXSct3xZ80hakAMJHdG"&amp;"Jh9616E/edit?usp=sharing"",""รวมใต้!J134"")"),2)</f>
        <v>2</v>
      </c>
      <c r="K134" s="221"/>
      <c r="L134" s="165"/>
      <c r="M134" s="165"/>
      <c r="N134" s="165"/>
      <c r="O134" s="180"/>
      <c r="P134" s="180"/>
    </row>
    <row r="135" spans="1:16" ht="21.75" customHeight="1" x14ac:dyDescent="0.3">
      <c r="A135" s="230"/>
      <c r="B135" s="231"/>
      <c r="C135" s="231"/>
      <c r="D135" s="232">
        <v>3</v>
      </c>
      <c r="E135" s="233" t="s">
        <v>52</v>
      </c>
      <c r="F135" s="234"/>
      <c r="G135" s="235"/>
      <c r="H135" s="236"/>
      <c r="I135" s="237"/>
      <c r="J135" s="238">
        <f ca="1">IFERROR(__xludf.DUMMYFUNCTION("IMPORTRANGE(""https://docs.google.com/spreadsheets/d/1yGy89TWty5kAjAO5OL1fLLQ_DL8fVJHFf2LvMm8qymA/edit?usp=sharing"",""รวมเหนือ!J135"")+IMPORTRANGE(""https://docs.google.com/spreadsheets/d/1bWGR5Y7oTgtZIep2hLdTHG-chM0w9aHBSSpJHwm6lak/edit?usp=sharing"","""&amp;"รวมตะวันออกเฉียงเหนือ!J135"")+IMPORTRANGE(""https://docs.google.com/spreadsheets/d/1dCxWUCc_SKNp-qd8qsaa5pPX_-BuQqWJ_-8FnsS4Ki0/edit?usp=sharing"",""รวมกลาง!J135"")+IMPORTRANGE(""https://docs.google.com/spreadsheets/d/1uOzBKYgpuhMUe0xXQLXSct3xZ80hakAMJHdG"&amp;"Jh9616E/edit?usp=sharing"",""รวมใต้!J135"")"),0)</f>
        <v>0</v>
      </c>
      <c r="K135" s="239"/>
      <c r="L135" s="240"/>
      <c r="M135" s="240"/>
      <c r="N135" s="240"/>
      <c r="O135" s="241"/>
      <c r="P135" s="241"/>
    </row>
    <row r="136" spans="1:16" ht="21.75" customHeight="1" x14ac:dyDescent="0.3">
      <c r="A136" s="242" t="s">
        <v>69</v>
      </c>
      <c r="B136" s="243"/>
      <c r="C136" s="243"/>
      <c r="D136" s="243"/>
      <c r="E136" s="244"/>
      <c r="F136" s="244"/>
      <c r="G136" s="245"/>
      <c r="H136" s="246"/>
      <c r="I136" s="247"/>
      <c r="J136" s="247"/>
      <c r="K136" s="248"/>
      <c r="L136" s="249"/>
      <c r="M136" s="249"/>
      <c r="N136" s="249"/>
      <c r="O136" s="249"/>
      <c r="P136" s="249"/>
    </row>
    <row r="137" spans="1:16" ht="21.75" customHeight="1" x14ac:dyDescent="0.3">
      <c r="A137" s="250" t="s">
        <v>70</v>
      </c>
      <c r="B137" s="251"/>
      <c r="C137" s="251"/>
      <c r="D137" s="252"/>
      <c r="E137" s="252"/>
      <c r="F137" s="252"/>
      <c r="G137" s="253"/>
      <c r="H137" s="254"/>
      <c r="I137" s="255"/>
      <c r="J137" s="255"/>
      <c r="K137" s="256"/>
      <c r="L137" s="256"/>
      <c r="M137" s="256"/>
      <c r="N137" s="256"/>
      <c r="O137" s="257"/>
      <c r="P137" s="257"/>
    </row>
    <row r="138" spans="1:16" ht="21.75" customHeight="1" x14ac:dyDescent="0.3">
      <c r="A138" s="258"/>
      <c r="B138" s="259" t="s">
        <v>71</v>
      </c>
      <c r="C138" s="260"/>
      <c r="D138" s="259"/>
      <c r="E138" s="259"/>
      <c r="F138" s="259"/>
      <c r="G138" s="261"/>
      <c r="H138" s="262" t="s">
        <v>37</v>
      </c>
      <c r="I138" s="263">
        <f ca="1">IFERROR(__xludf.DUMMYFUNCTION("IMPORTRANGE(""https://docs.google.com/spreadsheets/d/1yGy89TWty5kAjAO5OL1fLLQ_DL8fVJHFf2LvMm8qymA/edit?usp=sharing"",""รวมเหนือ!I138"")+IMPORTRANGE(""https://docs.google.com/spreadsheets/d/1bWGR5Y7oTgtZIep2hLdTHG-chM0w9aHBSSpJHwm6lak/edit?usp=sharing"","""&amp;"รวมตะวันออกเฉียงเหนือ!I138"")+IMPORTRANGE(""https://docs.google.com/spreadsheets/d/1dCxWUCc_SKNp-qd8qsaa5pPX_-BuQqWJ_-8FnsS4Ki0/edit?usp=sharing"",""รวมกลาง!I138"")+IMPORTRANGE(""https://docs.google.com/spreadsheets/d/1uOzBKYgpuhMUe0xXQLXSct3xZ80hakAMJHdG"&amp;"Jh9616E/edit?usp=sharing"",""รวมใต้!I138"")"),1200)</f>
        <v>1200</v>
      </c>
      <c r="J138" s="263">
        <f ca="1">IFERROR(__xludf.DUMMYFUNCTION("IMPORTRANGE(""https://docs.google.com/spreadsheets/d/1yGy89TWty5kAjAO5OL1fLLQ_DL8fVJHFf2LvMm8qymA/edit?usp=sharing"",""รวมเหนือ!J138"")+IMPORTRANGE(""https://docs.google.com/spreadsheets/d/1bWGR5Y7oTgtZIep2hLdTHG-chM0w9aHBSSpJHwm6lak/edit?usp=sharing"","""&amp;"รวมตะวันออกเฉียงเหนือ!J138"")+IMPORTRANGE(""https://docs.google.com/spreadsheets/d/1dCxWUCc_SKNp-qd8qsaa5pPX_-BuQqWJ_-8FnsS4Ki0/edit?usp=sharing"",""รวมกลาง!J138"")+IMPORTRANGE(""https://docs.google.com/spreadsheets/d/1uOzBKYgpuhMUe0xXQLXSct3xZ80hakAMJHdG"&amp;"Jh9616E/edit?usp=sharing"",""รวมใต้!J138"")"),1172)</f>
        <v>1172</v>
      </c>
      <c r="K138" s="264">
        <f ca="1">IF(I138&gt;0,J138*100/I138,0)</f>
        <v>97.666666666666671</v>
      </c>
      <c r="L138" s="265"/>
      <c r="M138" s="265"/>
      <c r="N138" s="265"/>
      <c r="O138" s="264"/>
      <c r="P138" s="264"/>
    </row>
    <row r="139" spans="1:16" ht="21.75" customHeight="1" x14ac:dyDescent="0.3">
      <c r="A139" s="258"/>
      <c r="B139" s="259" t="s">
        <v>72</v>
      </c>
      <c r="C139" s="260"/>
      <c r="D139" s="259"/>
      <c r="E139" s="259"/>
      <c r="F139" s="259"/>
      <c r="G139" s="261"/>
      <c r="H139" s="262"/>
      <c r="I139" s="263"/>
      <c r="J139" s="263"/>
      <c r="K139" s="264"/>
      <c r="L139" s="265"/>
      <c r="M139" s="265"/>
      <c r="N139" s="265"/>
      <c r="O139" s="264"/>
      <c r="P139" s="264"/>
    </row>
    <row r="140" spans="1:16" ht="21.75" customHeight="1" x14ac:dyDescent="0.4">
      <c r="A140" s="146"/>
      <c r="B140" s="147"/>
      <c r="C140" s="148" t="s">
        <v>16</v>
      </c>
      <c r="D140" s="533" t="s">
        <v>17</v>
      </c>
      <c r="E140" s="534"/>
      <c r="F140" s="534"/>
      <c r="G140" s="534"/>
      <c r="H140" s="149" t="s">
        <v>12</v>
      </c>
      <c r="I140" s="162"/>
      <c r="J140" s="162"/>
      <c r="K140" s="163"/>
      <c r="L140" s="152">
        <f t="shared" ref="L140:N140" ca="1" si="66">L141+L142</f>
        <v>26530200</v>
      </c>
      <c r="M140" s="152">
        <f t="shared" ca="1" si="66"/>
        <v>20807900</v>
      </c>
      <c r="N140" s="152">
        <f t="shared" ca="1" si="66"/>
        <v>12148050.369999999</v>
      </c>
      <c r="O140" s="151">
        <f t="shared" ref="O140:O142" ca="1" si="67">IF(L140&gt;0,N140*100/L140,0)</f>
        <v>45.789516739413948</v>
      </c>
      <c r="P140" s="151">
        <f t="shared" ref="P140:P144" ca="1" si="68">IF(M140&gt;0,N140*100/M140,0)</f>
        <v>58.38191441712042</v>
      </c>
    </row>
    <row r="141" spans="1:16" ht="21.75" customHeight="1" x14ac:dyDescent="0.4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ca="1" si="69">L143+L147</f>
        <v>6970850</v>
      </c>
      <c r="M141" s="157">
        <f t="shared" ca="1" si="69"/>
        <v>4661570</v>
      </c>
      <c r="N141" s="157">
        <f t="shared" ca="1" si="69"/>
        <v>1759894.17</v>
      </c>
      <c r="O141" s="156">
        <f t="shared" ca="1" si="67"/>
        <v>25.246478836870683</v>
      </c>
      <c r="P141" s="156">
        <f t="shared" ca="1" si="68"/>
        <v>37.753249870751702</v>
      </c>
    </row>
    <row r="142" spans="1:16" ht="21.75" customHeight="1" x14ac:dyDescent="0.4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70">L144+L148</f>
        <v>19559350</v>
      </c>
      <c r="M142" s="157">
        <f t="shared" ca="1" si="70"/>
        <v>16146330</v>
      </c>
      <c r="N142" s="157">
        <f t="shared" ca="1" si="70"/>
        <v>10388156.199999999</v>
      </c>
      <c r="O142" s="156">
        <f t="shared" ca="1" si="67"/>
        <v>53.110947960949616</v>
      </c>
      <c r="P142" s="156">
        <f t="shared" ca="1" si="68"/>
        <v>64.337568970781589</v>
      </c>
    </row>
    <row r="143" spans="1:16" ht="21.75" customHeight="1" x14ac:dyDescent="0.4">
      <c r="A143" s="158"/>
      <c r="B143" s="159"/>
      <c r="C143" s="159" t="s">
        <v>16</v>
      </c>
      <c r="D143" s="535" t="s">
        <v>20</v>
      </c>
      <c r="E143" s="532"/>
      <c r="F143" s="532"/>
      <c r="G143" s="160" t="s">
        <v>38</v>
      </c>
      <c r="H143" s="168" t="s">
        <v>12</v>
      </c>
      <c r="I143" s="162" t="s">
        <v>39</v>
      </c>
      <c r="J143" s="162"/>
      <c r="K143" s="163"/>
      <c r="L143" s="164">
        <f ca="1">IFERROR(__xludf.DUMMYFUNCTION("IMPORTRANGE(""https://docs.google.com/spreadsheets/d/1Yj_ptqi66GCucihVvJfMjLAmec39IyEx_6qawtMGysU/edit?usp=sharing"",""สบก!BE15"")"),6970850)</f>
        <v>6970850</v>
      </c>
      <c r="M143" s="164">
        <f ca="1">IFERROR(__xludf.DUMMYFUNCTION("IMPORTRANGE(""https://docs.google.com/spreadsheets/d/1Yj_ptqi66GCucihVvJfMjLAmec39IyEx_6qawtMGysU/edit?usp=sharing"",""สบก!BJ15"")"),4661570)</f>
        <v>4661570</v>
      </c>
      <c r="N143" s="164">
        <f ca="1">IFERROR(__xludf.DUMMYFUNCTION("IMPORTRANGE(""https://docs.google.com/spreadsheets/d/1Yj_ptqi66GCucihVvJfMjLAmec39IyEx_6qawtMGysU/edit?usp=sharing"",""สบก!BK15"")"),1759894.17)</f>
        <v>1759894.17</v>
      </c>
      <c r="O143" s="165">
        <f ca="1">+IF(L143&gt;0,N143*100/L143,0)</f>
        <v>25.246478836870683</v>
      </c>
      <c r="P143" s="165">
        <f t="shared" ca="1" si="68"/>
        <v>37.753249870751702</v>
      </c>
    </row>
    <row r="144" spans="1:16" ht="21.75" customHeight="1" x14ac:dyDescent="0.3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8" t="s">
        <v>12</v>
      </c>
      <c r="I144" s="162"/>
      <c r="J144" s="162"/>
      <c r="K144" s="163"/>
      <c r="L144" s="164">
        <f ca="1">IFERROR(__xludf.DUMMYFUNCTION("IMPORTRANGE(""https://docs.google.com/spreadsheets/d/1yGy89TWty5kAjAO5OL1fLLQ_DL8fVJHFf2LvMm8qymA/edit?usp=sharing"",""รวมเหนือ!L144"")+IMPORTRANGE(""https://docs.google.com/spreadsheets/d/1bWGR5Y7oTgtZIep2hLdTHG-chM0w9aHBSSpJHwm6lak/edit?usp=sharing"","""&amp;"รวมตะวันออกเฉียงเหนือ!L144"")+IMPORTRANGE(""https://docs.google.com/spreadsheets/d/1dCxWUCc_SKNp-qd8qsaa5pPX_-BuQqWJ_-8FnsS4Ki0/edit?usp=sharing"",""รวมกลาง!L144"")+IMPORTRANGE(""https://docs.google.com/spreadsheets/d/1uOzBKYgpuhMUe0xXQLXSct3xZ80hakAMJHdG"&amp;"Jh9616E/edit?usp=sharing"",""รวมใต้!L144"")"),19321350)</f>
        <v>19321350</v>
      </c>
      <c r="M144" s="164">
        <f ca="1">IFERROR(__xludf.DUMMYFUNCTION("IMPORTRANGE(""https://docs.google.com/spreadsheets/d/1yGy89TWty5kAjAO5OL1fLLQ_DL8fVJHFf2LvMm8qymA/edit?usp=sharing"",""รวมเหนือ!M144"")+IMPORTRANGE(""https://docs.google.com/spreadsheets/d/1bWGR5Y7oTgtZIep2hLdTHG-chM0w9aHBSSpJHwm6lak/edit?usp=sharing"","""&amp;"รวมตะวันออกเฉียงเหนือ!M144"")+IMPORTRANGE(""https://docs.google.com/spreadsheets/d/1dCxWUCc_SKNp-qd8qsaa5pPX_-BuQqWJ_-8FnsS4Ki0/edit?usp=sharing"",""รวมกลาง!M144"")+IMPORTRANGE(""https://docs.google.com/spreadsheets/d/1uOzBKYgpuhMUe0xXQLXSct3xZ80hakAMJHdG"&amp;"Jh9616E/edit?usp=sharing"",""รวมใต้!M144"")"),15908330)</f>
        <v>15908330</v>
      </c>
      <c r="N144" s="165">
        <f ca="1">IFERROR(__xludf.DUMMYFUNCTION("IMPORTRANGE(""https://docs.google.com/spreadsheets/d/1yGy89TWty5kAjAO5OL1fLLQ_DL8fVJHFf2LvMm8qymA/edit?usp=sharing"",""รวมเหนือ!N144"")+IMPORTRANGE(""https://docs.google.com/spreadsheets/d/1bWGR5Y7oTgtZIep2hLdTHG-chM0w9aHBSSpJHwm6lak/edit?usp=sharing"","""&amp;"รวมตะวันออกเฉียงเหนือ!N144"")+IMPORTRANGE(""https://docs.google.com/spreadsheets/d/1dCxWUCc_SKNp-qd8qsaa5pPX_-BuQqWJ_-8FnsS4Ki0/edit?usp=sharing"",""รวมกลาง!N144"")+IMPORTRANGE(""https://docs.google.com/spreadsheets/d/1uOzBKYgpuhMUe0xXQLXSct3xZ80hakAMJHdG"&amp;"Jh9616E/edit?usp=sharing"",""รวมใต้!N144"")"),10150156.2)</f>
        <v>10150156.199999999</v>
      </c>
      <c r="O144" s="165">
        <f ca="1">IF(L144&gt;0,N144*100/L144,0)</f>
        <v>52.533369562685834</v>
      </c>
      <c r="P144" s="165">
        <f t="shared" ca="1" si="68"/>
        <v>63.804033484344359</v>
      </c>
    </row>
    <row r="145" spans="1:16" ht="21.75" customHeight="1" x14ac:dyDescent="0.4">
      <c r="A145" s="158"/>
      <c r="B145" s="159"/>
      <c r="C145" s="159"/>
      <c r="D145" s="166"/>
      <c r="E145" s="167"/>
      <c r="F145" s="167"/>
      <c r="G145" s="34" t="s">
        <v>21</v>
      </c>
      <c r="H145" s="168" t="s">
        <v>12</v>
      </c>
      <c r="I145" s="162"/>
      <c r="J145" s="162"/>
      <c r="K145" s="163"/>
      <c r="L145" s="164">
        <f ca="1">IFERROR(__xludf.DUMMYFUNCTION("IMPORTRANGE(""https://docs.google.com/spreadsheets/d/1yGy89TWty5kAjAO5OL1fLLQ_DL8fVJHFf2LvMm8qymA/edit?usp=sharing"",""รวมเหนือ!L145"")+IMPORTRANGE(""https://docs.google.com/spreadsheets/d/1bWGR5Y7oTgtZIep2hLdTHG-chM0w9aHBSSpJHwm6lak/edit?usp=sharing"","""&amp;"รวมตะวันออกเฉียงเหนือ!L145"")+IMPORTRANGE(""https://docs.google.com/spreadsheets/d/1dCxWUCc_SKNp-qd8qsaa5pPX_-BuQqWJ_-8FnsS4Ki0/edit?usp=sharing"",""รวมกลาง!L145"")+IMPORTRANGE(""https://docs.google.com/spreadsheets/d/1uOzBKYgpuhMUe0xXQLXSct3xZ80hakAMJHdG"&amp;"Jh9616E/edit?usp=sharing"",""รวมใต้!L145"")"),8823700)</f>
        <v>8823700</v>
      </c>
      <c r="M145" s="164"/>
      <c r="N145" s="164"/>
      <c r="O145" s="165"/>
      <c r="P145" s="165"/>
    </row>
    <row r="146" spans="1:16" ht="21.75" customHeight="1" x14ac:dyDescent="0.4">
      <c r="A146" s="158"/>
      <c r="B146" s="159"/>
      <c r="C146" s="159"/>
      <c r="D146" s="166"/>
      <c r="E146" s="167"/>
      <c r="F146" s="167"/>
      <c r="G146" s="34" t="s">
        <v>22</v>
      </c>
      <c r="H146" s="168" t="s">
        <v>12</v>
      </c>
      <c r="I146" s="162"/>
      <c r="J146" s="162"/>
      <c r="K146" s="163"/>
      <c r="L146" s="164">
        <f ca="1">IFERROR(__xludf.DUMMYFUNCTION("IMPORTRANGE(""https://docs.google.com/spreadsheets/d/1yGy89TWty5kAjAO5OL1fLLQ_DL8fVJHFf2LvMm8qymA/edit?usp=sharing"",""รวมเหนือ!L146"")+IMPORTRANGE(""https://docs.google.com/spreadsheets/d/1bWGR5Y7oTgtZIep2hLdTHG-chM0w9aHBSSpJHwm6lak/edit?usp=sharing"","""&amp;"รวมตะวันออกเฉียงเหนือ!L146"")+IMPORTRANGE(""https://docs.google.com/spreadsheets/d/1dCxWUCc_SKNp-qd8qsaa5pPX_-BuQqWJ_-8FnsS4Ki0/edit?usp=sharing"",""รวมกลาง!L146"")+IMPORTRANGE(""https://docs.google.com/spreadsheets/d/1uOzBKYgpuhMUe0xXQLXSct3xZ80hakAMJHdG"&amp;"Jh9616E/edit?usp=sharing"",""รวมใต้!L146"")"),10497650)</f>
        <v>10497650</v>
      </c>
      <c r="M146" s="164"/>
      <c r="N146" s="164"/>
      <c r="O146" s="165"/>
      <c r="P146" s="165"/>
    </row>
    <row r="147" spans="1:16" ht="21.75" customHeight="1" x14ac:dyDescent="0.4">
      <c r="A147" s="169"/>
      <c r="B147" s="80"/>
      <c r="C147" s="81" t="s">
        <v>16</v>
      </c>
      <c r="D147" s="531" t="s">
        <v>23</v>
      </c>
      <c r="E147" s="532"/>
      <c r="F147" s="86"/>
      <c r="G147" s="82" t="s">
        <v>18</v>
      </c>
      <c r="H147" s="170" t="s">
        <v>12</v>
      </c>
      <c r="I147" s="186"/>
      <c r="J147" s="186"/>
      <c r="K147" s="221"/>
      <c r="L147" s="41">
        <f ca="1">IFERROR(__xludf.DUMMYFUNCTION("IMPORTRANGE(""https://docs.google.com/spreadsheets/d/1Yj_ptqi66GCucihVvJfMjLAmec39IyEx_6qawtMGysU/edit?usp=sharing"",""สบก!BH15"")"),0)</f>
        <v>0</v>
      </c>
      <c r="M147" s="41"/>
      <c r="N147" s="41">
        <f ca="1">IFERROR(__xludf.DUMMYFUNCTION("IMPORTRANGE(""https://docs.google.com/spreadsheets/d/1Yj_ptqi66GCucihVvJfMjLAmec39IyEx_6qawtMGysU/edit?usp=sharing"",""สบก!BL15"")"),0)</f>
        <v>0</v>
      </c>
      <c r="O147" s="120"/>
      <c r="P147" s="120"/>
    </row>
    <row r="148" spans="1:16" ht="21.75" customHeight="1" x14ac:dyDescent="0.4">
      <c r="A148" s="171"/>
      <c r="B148" s="89"/>
      <c r="C148" s="89"/>
      <c r="D148" s="172"/>
      <c r="E148" s="90"/>
      <c r="F148" s="90"/>
      <c r="G148" s="91" t="s">
        <v>19</v>
      </c>
      <c r="H148" s="173" t="s">
        <v>12</v>
      </c>
      <c r="I148" s="186"/>
      <c r="J148" s="186"/>
      <c r="K148" s="221"/>
      <c r="L148" s="49">
        <f ca="1">IFERROR(__xludf.DUMMYFUNCTION("IMPORTRANGE(""https://docs.google.com/spreadsheets/d/1yGy89TWty5kAjAO5OL1fLLQ_DL8fVJHFf2LvMm8qymA/edit?usp=sharing"",""รวมเหนือ!L148"")+IMPORTRANGE(""https://docs.google.com/spreadsheets/d/1bWGR5Y7oTgtZIep2hLdTHG-chM0w9aHBSSpJHwm6lak/edit?usp=sharing"","""&amp;"รวมตะวันออกเฉียงเหนือ!L148"")+IMPORTRANGE(""https://docs.google.com/spreadsheets/d/1dCxWUCc_SKNp-qd8qsaa5pPX_-BuQqWJ_-8FnsS4Ki0/edit?usp=sharing"",""รวมกลาง!L148"")+IMPORTRANGE(""https://docs.google.com/spreadsheets/d/1uOzBKYgpuhMUe0xXQLXSct3xZ80hakAMJHdG"&amp;"Jh9616E/edit?usp=sharing"",""รวมใต้!L148"")"),238000)</f>
        <v>238000</v>
      </c>
      <c r="M148" s="49">
        <f ca="1">IFERROR(__xludf.DUMMYFUNCTION("IMPORTRANGE(""https://docs.google.com/spreadsheets/d/1yGy89TWty5kAjAO5OL1fLLQ_DL8fVJHFf2LvMm8qymA/edit?usp=sharing"",""รวมเหนือ!M148"")+IMPORTRANGE(""https://docs.google.com/spreadsheets/d/1bWGR5Y7oTgtZIep2hLdTHG-chM0w9aHBSSpJHwm6lak/edit?usp=sharing"","""&amp;"รวมตะวันออกเฉียงเหนือ!M148"")+IMPORTRANGE(""https://docs.google.com/spreadsheets/d/1dCxWUCc_SKNp-qd8qsaa5pPX_-BuQqWJ_-8FnsS4Ki0/edit?usp=sharing"",""รวมกลาง!M148"")+IMPORTRANGE(""https://docs.google.com/spreadsheets/d/1uOzBKYgpuhMUe0xXQLXSct3xZ80hakAMJHdG"&amp;"Jh9616E/edit?usp=sharing"",""รวมใต้!M148"")"),238000)</f>
        <v>238000</v>
      </c>
      <c r="N148" s="49">
        <f ca="1">IFERROR(__xludf.DUMMYFUNCTION("IMPORTRANGE(""https://docs.google.com/spreadsheets/d/1yGy89TWty5kAjAO5OL1fLLQ_DL8fVJHFf2LvMm8qymA/edit?usp=sharing"",""รวมเหนือ!N148"")+IMPORTRANGE(""https://docs.google.com/spreadsheets/d/1bWGR5Y7oTgtZIep2hLdTHG-chM0w9aHBSSpJHwm6lak/edit?usp=sharing"","""&amp;"รวมตะวันออกเฉียงเหนือ!N148"")+IMPORTRANGE(""https://docs.google.com/spreadsheets/d/1dCxWUCc_SKNp-qd8qsaa5pPX_-BuQqWJ_-8FnsS4Ki0/edit?usp=sharing"",""รวมกลาง!N148"")+IMPORTRANGE(""https://docs.google.com/spreadsheets/d/1uOzBKYgpuhMUe0xXQLXSct3xZ80hakAMJHdG"&amp;"Jh9616E/edit?usp=sharing"",""รวมใต้!N148"")"),238000)</f>
        <v>238000</v>
      </c>
      <c r="O148" s="121">
        <f ca="1">IF(L148&gt;0,N148*100/L148,0)</f>
        <v>100</v>
      </c>
      <c r="P148" s="121">
        <f ca="1">IF(M148&gt;0,N148*100/M148,0)</f>
        <v>100</v>
      </c>
    </row>
    <row r="149" spans="1:16" ht="21.75" customHeight="1" x14ac:dyDescent="0.3">
      <c r="A149" s="266"/>
      <c r="B149" s="267"/>
      <c r="C149" s="268" t="s">
        <v>73</v>
      </c>
      <c r="D149" s="268"/>
      <c r="E149" s="268"/>
      <c r="F149" s="268"/>
      <c r="G149" s="269"/>
      <c r="H149" s="270" t="s">
        <v>74</v>
      </c>
      <c r="I149" s="271">
        <f ca="1">IFERROR(__xludf.DUMMYFUNCTION("IMPORTRANGE(""https://docs.google.com/spreadsheets/d/1yGy89TWty5kAjAO5OL1fLLQ_DL8fVJHFf2LvMm8qymA/edit?usp=sharing"",""รวมเหนือ!I149"")+IMPORTRANGE(""https://docs.google.com/spreadsheets/d/1bWGR5Y7oTgtZIep2hLdTHG-chM0w9aHBSSpJHwm6lak/edit?usp=sharing"","""&amp;"รวมตะวันออกเฉียงเหนือ!I149"")+IMPORTRANGE(""https://docs.google.com/spreadsheets/d/1dCxWUCc_SKNp-qd8qsaa5pPX_-BuQqWJ_-8FnsS4Ki0/edit?usp=sharing"",""รวมกลาง!I149"")+IMPORTRANGE(""https://docs.google.com/spreadsheets/d/1uOzBKYgpuhMUe0xXQLXSct3xZ80hakAMJHdG"&amp;"Jh9616E/edit?usp=sharing"",""รวมใต้!I149"")"),288)</f>
        <v>288</v>
      </c>
      <c r="J149" s="271">
        <f ca="1">IFERROR(__xludf.DUMMYFUNCTION("IMPORTRANGE(""https://docs.google.com/spreadsheets/d/1yGy89TWty5kAjAO5OL1fLLQ_DL8fVJHFf2LvMm8qymA/edit?usp=sharing"",""รวมเหนือ!J149"")+IMPORTRANGE(""https://docs.google.com/spreadsheets/d/1bWGR5Y7oTgtZIep2hLdTHG-chM0w9aHBSSpJHwm6lak/edit?usp=sharing"","""&amp;"รวมตะวันออกเฉียงเหนือ!J149"")+IMPORTRANGE(""https://docs.google.com/spreadsheets/d/1dCxWUCc_SKNp-qd8qsaa5pPX_-BuQqWJ_-8FnsS4Ki0/edit?usp=sharing"",""รวมกลาง!J149"")+IMPORTRANGE(""https://docs.google.com/spreadsheets/d/1uOzBKYgpuhMUe0xXQLXSct3xZ80hakAMJHdG"&amp;"Jh9616E/edit?usp=sharing"",""รวมใต้!J149"")"),126)</f>
        <v>126</v>
      </c>
      <c r="K149" s="272">
        <f ca="1">IF(I149&gt;0,J149*100/I149,0)</f>
        <v>43.75</v>
      </c>
      <c r="L149" s="273"/>
      <c r="M149" s="273"/>
      <c r="N149" s="273"/>
      <c r="O149" s="273"/>
      <c r="P149" s="273"/>
    </row>
    <row r="150" spans="1:16" ht="21.75" hidden="1" customHeight="1" x14ac:dyDescent="0.3">
      <c r="A150" s="158"/>
      <c r="B150" s="159"/>
      <c r="C150" s="159" t="s">
        <v>16</v>
      </c>
      <c r="D150" s="274" t="s">
        <v>75</v>
      </c>
      <c r="E150" s="167"/>
      <c r="F150" s="167"/>
      <c r="G150" s="160" t="s">
        <v>38</v>
      </c>
      <c r="H150" s="168" t="s">
        <v>12</v>
      </c>
      <c r="I150" s="162" t="s">
        <v>39</v>
      </c>
      <c r="J150" s="162"/>
      <c r="K150" s="163"/>
      <c r="L150" s="275"/>
      <c r="M150" s="275"/>
      <c r="N150" s="276"/>
      <c r="O150" s="276"/>
      <c r="P150" s="276"/>
    </row>
    <row r="151" spans="1:16" ht="21.75" hidden="1" customHeight="1" x14ac:dyDescent="0.3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8" t="s">
        <v>12</v>
      </c>
      <c r="I151" s="162"/>
      <c r="J151" s="162"/>
      <c r="K151" s="163"/>
      <c r="L151" s="276"/>
      <c r="M151" s="276"/>
      <c r="N151" s="276"/>
      <c r="O151" s="276"/>
      <c r="P151" s="276"/>
    </row>
    <row r="152" spans="1:16" ht="21.75" hidden="1" customHeight="1" x14ac:dyDescent="0.3">
      <c r="A152" s="158"/>
      <c r="B152" s="159"/>
      <c r="C152" s="159"/>
      <c r="D152" s="166"/>
      <c r="E152" s="167"/>
      <c r="F152" s="167"/>
      <c r="G152" s="277" t="s">
        <v>76</v>
      </c>
      <c r="H152" s="168" t="s">
        <v>12</v>
      </c>
      <c r="I152" s="162"/>
      <c r="J152" s="162"/>
      <c r="K152" s="163"/>
      <c r="L152" s="165"/>
      <c r="M152" s="165"/>
      <c r="N152" s="164"/>
      <c r="O152" s="165"/>
      <c r="P152" s="165"/>
    </row>
    <row r="153" spans="1:16" ht="21.75" customHeight="1" x14ac:dyDescent="0.3">
      <c r="A153" s="174"/>
      <c r="B153" s="175"/>
      <c r="C153" s="159" t="s">
        <v>16</v>
      </c>
      <c r="D153" s="176" t="s">
        <v>41</v>
      </c>
      <c r="E153" s="177"/>
      <c r="F153" s="177"/>
      <c r="G153" s="178"/>
      <c r="H153" s="179"/>
      <c r="I153" s="162"/>
      <c r="J153" s="162"/>
      <c r="K153" s="163"/>
      <c r="L153" s="180"/>
      <c r="M153" s="180"/>
      <c r="N153" s="180"/>
      <c r="O153" s="180"/>
      <c r="P153" s="180"/>
    </row>
    <row r="154" spans="1:16" ht="21.75" customHeight="1" x14ac:dyDescent="0.3">
      <c r="A154" s="174"/>
      <c r="B154" s="175"/>
      <c r="C154" s="175"/>
      <c r="D154" s="181">
        <v>1</v>
      </c>
      <c r="E154" s="182" t="s">
        <v>42</v>
      </c>
      <c r="F154" s="183"/>
      <c r="G154" s="184"/>
      <c r="H154" s="185"/>
      <c r="I154" s="186"/>
      <c r="J154" s="187">
        <f ca="1">IFERROR(__xludf.DUMMYFUNCTION("IMPORTRANGE(""https://docs.google.com/spreadsheets/d/1yGy89TWty5kAjAO5OL1fLLQ_DL8fVJHFf2LvMm8qymA/edit?usp=sharing"",""รวมเหนือ!J154"")+IMPORTRANGE(""https://docs.google.com/spreadsheets/d/1bWGR5Y7oTgtZIep2hLdTHG-chM0w9aHBSSpJHwm6lak/edit?usp=sharing"","""&amp;"รวมตะวันออกเฉียงเหนือ!J154"")+IMPORTRANGE(""https://docs.google.com/spreadsheets/d/1dCxWUCc_SKNp-qd8qsaa5pPX_-BuQqWJ_-8FnsS4Ki0/edit?usp=sharing"",""รวมกลาง!J154"")+IMPORTRANGE(""https://docs.google.com/spreadsheets/d/1uOzBKYgpuhMUe0xXQLXSct3xZ80hakAMJHdG"&amp;"Jh9616E/edit?usp=sharing"",""รวมใต้!J154"")"),0)</f>
        <v>0</v>
      </c>
      <c r="K154" s="163"/>
      <c r="L154" s="180"/>
      <c r="M154" s="180"/>
      <c r="N154" s="180"/>
      <c r="O154" s="180"/>
      <c r="P154" s="180"/>
    </row>
    <row r="155" spans="1:16" ht="21.75" customHeight="1" x14ac:dyDescent="0.3">
      <c r="A155" s="174"/>
      <c r="B155" s="175"/>
      <c r="C155" s="175"/>
      <c r="D155" s="188">
        <v>2</v>
      </c>
      <c r="E155" s="189" t="s">
        <v>43</v>
      </c>
      <c r="F155" s="190"/>
      <c r="G155" s="191"/>
      <c r="H155" s="185"/>
      <c r="I155" s="186"/>
      <c r="J155" s="186">
        <f ca="1">IFERROR(__xludf.DUMMYFUNCTION("IMPORTRANGE(""https://docs.google.com/spreadsheets/d/1yGy89TWty5kAjAO5OL1fLLQ_DL8fVJHFf2LvMm8qymA/edit?usp=sharing"",""รวมเหนือ!J155"")+IMPORTRANGE(""https://docs.google.com/spreadsheets/d/1bWGR5Y7oTgtZIep2hLdTHG-chM0w9aHBSSpJHwm6lak/edit?usp=sharing"","""&amp;"รวมตะวันออกเฉียงเหนือ!J155"")+IMPORTRANGE(""https://docs.google.com/spreadsheets/d/1dCxWUCc_SKNp-qd8qsaa5pPX_-BuQqWJ_-8FnsS4Ki0/edit?usp=sharing"",""รวมกลาง!J155"")+IMPORTRANGE(""https://docs.google.com/spreadsheets/d/1uOzBKYgpuhMUe0xXQLXSct3xZ80hakAMJHdG"&amp;"Jh9616E/edit?usp=sharing"",""รวมใต้!J155"")"),71)</f>
        <v>71</v>
      </c>
      <c r="K155" s="163"/>
      <c r="L155" s="180"/>
      <c r="M155" s="180"/>
      <c r="N155" s="180"/>
      <c r="O155" s="180"/>
      <c r="P155" s="180"/>
    </row>
    <row r="156" spans="1:16" ht="21.75" customHeight="1" x14ac:dyDescent="0.3">
      <c r="A156" s="174"/>
      <c r="B156" s="175"/>
      <c r="C156" s="175"/>
      <c r="D156" s="192"/>
      <c r="E156" s="193" t="s">
        <v>44</v>
      </c>
      <c r="F156" s="194"/>
      <c r="G156" s="195"/>
      <c r="H156" s="185"/>
      <c r="I156" s="186"/>
      <c r="J156" s="186">
        <f ca="1">IFERROR(__xludf.DUMMYFUNCTION("IMPORTRANGE(""https://docs.google.com/spreadsheets/d/1yGy89TWty5kAjAO5OL1fLLQ_DL8fVJHFf2LvMm8qymA/edit?usp=sharing"",""รวมเหนือ!J156"")+IMPORTRANGE(""https://docs.google.com/spreadsheets/d/1bWGR5Y7oTgtZIep2hLdTHG-chM0w9aHBSSpJHwm6lak/edit?usp=sharing"","""&amp;"รวมตะวันออกเฉียงเหนือ!J156"")+IMPORTRANGE(""https://docs.google.com/spreadsheets/d/1dCxWUCc_SKNp-qd8qsaa5pPX_-BuQqWJ_-8FnsS4Ki0/edit?usp=sharing"",""รวมกลาง!J156"")+IMPORTRANGE(""https://docs.google.com/spreadsheets/d/1uOzBKYgpuhMUe0xXQLXSct3xZ80hakAMJHdG"&amp;"Jh9616E/edit?usp=sharing"",""รวมใต้!J156"")"),56)</f>
        <v>56</v>
      </c>
      <c r="K156" s="163"/>
      <c r="L156" s="180"/>
      <c r="M156" s="180"/>
      <c r="N156" s="180"/>
      <c r="O156" s="180"/>
      <c r="P156" s="180"/>
    </row>
    <row r="157" spans="1:16" ht="21.75" customHeight="1" x14ac:dyDescent="0.3">
      <c r="A157" s="174"/>
      <c r="B157" s="175"/>
      <c r="C157" s="175"/>
      <c r="D157" s="192"/>
      <c r="E157" s="193" t="s">
        <v>45</v>
      </c>
      <c r="F157" s="194"/>
      <c r="G157" s="195"/>
      <c r="H157" s="185"/>
      <c r="I157" s="186"/>
      <c r="J157" s="186">
        <f ca="1">IFERROR(__xludf.DUMMYFUNCTION("IMPORTRANGE(""https://docs.google.com/spreadsheets/d/1yGy89TWty5kAjAO5OL1fLLQ_DL8fVJHFf2LvMm8qymA/edit?usp=sharing"",""รวมเหนือ!J157"")+IMPORTRANGE(""https://docs.google.com/spreadsheets/d/1bWGR5Y7oTgtZIep2hLdTHG-chM0w9aHBSSpJHwm6lak/edit?usp=sharing"","""&amp;"รวมตะวันออกเฉียงเหนือ!J157"")+IMPORTRANGE(""https://docs.google.com/spreadsheets/d/1dCxWUCc_SKNp-qd8qsaa5pPX_-BuQqWJ_-8FnsS4Ki0/edit?usp=sharing"",""รวมกลาง!J157"")+IMPORTRANGE(""https://docs.google.com/spreadsheets/d/1uOzBKYgpuhMUe0xXQLXSct3xZ80hakAMJHdG"&amp;"Jh9616E/edit?usp=sharing"",""รวมใต้!J157"")"),59)</f>
        <v>59</v>
      </c>
      <c r="K157" s="163"/>
      <c r="L157" s="180"/>
      <c r="M157" s="180"/>
      <c r="N157" s="180"/>
      <c r="O157" s="180"/>
      <c r="P157" s="180"/>
    </row>
    <row r="158" spans="1:16" ht="21.75" customHeight="1" x14ac:dyDescent="0.3">
      <c r="A158" s="174"/>
      <c r="B158" s="175"/>
      <c r="C158" s="175"/>
      <c r="D158" s="192"/>
      <c r="E158" s="196"/>
      <c r="F158" s="193" t="s">
        <v>77</v>
      </c>
      <c r="G158" s="195"/>
      <c r="H158" s="179" t="s">
        <v>74</v>
      </c>
      <c r="I158" s="186">
        <f ca="1">IFERROR(__xludf.DUMMYFUNCTION("IMPORTRANGE(""https://docs.google.com/spreadsheets/d/1yGy89TWty5kAjAO5OL1fLLQ_DL8fVJHFf2LvMm8qymA/edit?usp=sharing"",""รวมเหนือ!I158"")+IMPORTRANGE(""https://docs.google.com/spreadsheets/d/1bWGR5Y7oTgtZIep2hLdTHG-chM0w9aHBSSpJHwm6lak/edit?usp=sharing"","""&amp;"รวมตะวันออกเฉียงเหนือ!I158"")+IMPORTRANGE(""https://docs.google.com/spreadsheets/d/1dCxWUCc_SKNp-qd8qsaa5pPX_-BuQqWJ_-8FnsS4Ki0/edit?usp=sharing"",""รวมกลาง!I158"")+IMPORTRANGE(""https://docs.google.com/spreadsheets/d/1uOzBKYgpuhMUe0xXQLXSct3xZ80hakAMJHdG"&amp;"Jh9616E/edit?usp=sharing"",""รวมใต้!I158"")"),288)</f>
        <v>288</v>
      </c>
      <c r="J158" s="187">
        <f ca="1">IFERROR(__xludf.DUMMYFUNCTION("IMPORTRANGE(""https://docs.google.com/spreadsheets/d/1yGy89TWty5kAjAO5OL1fLLQ_DL8fVJHFf2LvMm8qymA/edit?usp=sharing"",""รวมเหนือ!J158"")+IMPORTRANGE(""https://docs.google.com/spreadsheets/d/1bWGR5Y7oTgtZIep2hLdTHG-chM0w9aHBSSpJHwm6lak/edit?usp=sharing"","""&amp;"รวมตะวันออกเฉียงเหนือ!J158"")+IMPORTRANGE(""https://docs.google.com/spreadsheets/d/1dCxWUCc_SKNp-qd8qsaa5pPX_-BuQqWJ_-8FnsS4Ki0/edit?usp=sharing"",""รวมกลาง!J158"")+IMPORTRANGE(""https://docs.google.com/spreadsheets/d/1uOzBKYgpuhMUe0xXQLXSct3xZ80hakAMJHdG"&amp;"Jh9616E/edit?usp=sharing"",""รวมใต้!J158"")"),126)</f>
        <v>126</v>
      </c>
      <c r="K158" s="163">
        <f ca="1">IF(I158&gt;0,J158*100/I158,0)</f>
        <v>43.75</v>
      </c>
      <c r="L158" s="180"/>
      <c r="M158" s="180"/>
      <c r="N158" s="180"/>
      <c r="O158" s="180"/>
      <c r="P158" s="180"/>
    </row>
    <row r="159" spans="1:16" ht="21.75" customHeight="1" x14ac:dyDescent="0.3">
      <c r="A159" s="174"/>
      <c r="B159" s="175"/>
      <c r="C159" s="175"/>
      <c r="D159" s="192"/>
      <c r="E159" s="194"/>
      <c r="F159" s="278" t="s">
        <v>78</v>
      </c>
      <c r="G159" s="195"/>
      <c r="H159" s="279" t="s">
        <v>37</v>
      </c>
      <c r="I159" s="186"/>
      <c r="J159" s="187">
        <f ca="1">IFERROR(__xludf.DUMMYFUNCTION("IMPORTRANGE(""https://docs.google.com/spreadsheets/d/1yGy89TWty5kAjAO5OL1fLLQ_DL8fVJHFf2LvMm8qymA/edit?usp=sharing"",""รวมเหนือ!J159"")+IMPORTRANGE(""https://docs.google.com/spreadsheets/d/1bWGR5Y7oTgtZIep2hLdTHG-chM0w9aHBSSpJHwm6lak/edit?usp=sharing"","""&amp;"รวมตะวันออกเฉียงเหนือ!J159"")+IMPORTRANGE(""https://docs.google.com/spreadsheets/d/1dCxWUCc_SKNp-qd8qsaa5pPX_-BuQqWJ_-8FnsS4Ki0/edit?usp=sharing"",""รวมกลาง!J159"")+IMPORTRANGE(""https://docs.google.com/spreadsheets/d/1uOzBKYgpuhMUe0xXQLXSct3xZ80hakAMJHdG"&amp;"Jh9616E/edit?usp=sharing"",""รวมใต้!J159"")"),3976)</f>
        <v>3976</v>
      </c>
      <c r="K159" s="163"/>
      <c r="L159" s="180"/>
      <c r="M159" s="180"/>
      <c r="N159" s="180"/>
      <c r="O159" s="180"/>
      <c r="P159" s="180"/>
    </row>
    <row r="160" spans="1:16" ht="21.75" customHeight="1" x14ac:dyDescent="0.4">
      <c r="A160" s="174"/>
      <c r="B160" s="175"/>
      <c r="C160" s="175"/>
      <c r="D160" s="192"/>
      <c r="E160" s="194"/>
      <c r="F160" s="194"/>
      <c r="G160" s="280" t="s">
        <v>79</v>
      </c>
      <c r="H160" s="279" t="s">
        <v>37</v>
      </c>
      <c r="I160" s="186"/>
      <c r="J160" s="281">
        <f ca="1">IFERROR(__xludf.DUMMYFUNCTION("IMPORTRANGE(""https://docs.google.com/spreadsheets/d/1yGy89TWty5kAjAO5OL1fLLQ_DL8fVJHFf2LvMm8qymA/edit?usp=sharing"",""รวมเหนือ!J160"")+IMPORTRANGE(""https://docs.google.com/spreadsheets/d/1bWGR5Y7oTgtZIep2hLdTHG-chM0w9aHBSSpJHwm6lak/edit?usp=sharing"","""&amp;"รวมตะวันออกเฉียงเหนือ!J160"")+IMPORTRANGE(""https://docs.google.com/spreadsheets/d/1dCxWUCc_SKNp-qd8qsaa5pPX_-BuQqWJ_-8FnsS4Ki0/edit?usp=sharing"",""รวมกลาง!J160"")+IMPORTRANGE(""https://docs.google.com/spreadsheets/d/1uOzBKYgpuhMUe0xXQLXSct3xZ80hakAMJHdG"&amp;"Jh9616E/edit?usp=sharing"",""รวมใต้!J160"")"),3923)</f>
        <v>3923</v>
      </c>
      <c r="K160" s="163"/>
      <c r="L160" s="180"/>
      <c r="M160" s="180"/>
      <c r="N160" s="180"/>
      <c r="O160" s="180"/>
      <c r="P160" s="180"/>
    </row>
    <row r="161" spans="1:16" ht="21.75" customHeight="1" x14ac:dyDescent="0.4">
      <c r="A161" s="174"/>
      <c r="B161" s="175"/>
      <c r="C161" s="175"/>
      <c r="D161" s="192"/>
      <c r="E161" s="194"/>
      <c r="F161" s="194"/>
      <c r="G161" s="280" t="s">
        <v>80</v>
      </c>
      <c r="H161" s="279" t="s">
        <v>37</v>
      </c>
      <c r="I161" s="186"/>
      <c r="J161" s="281">
        <f ca="1">IFERROR(__xludf.DUMMYFUNCTION("IMPORTRANGE(""https://docs.google.com/spreadsheets/d/1yGy89TWty5kAjAO5OL1fLLQ_DL8fVJHFf2LvMm8qymA/edit?usp=sharing"",""รวมเหนือ!J161"")+IMPORTRANGE(""https://docs.google.com/spreadsheets/d/1bWGR5Y7oTgtZIep2hLdTHG-chM0w9aHBSSpJHwm6lak/edit?usp=sharing"","""&amp;"รวมตะวันออกเฉียงเหนือ!J161"")+IMPORTRANGE(""https://docs.google.com/spreadsheets/d/1dCxWUCc_SKNp-qd8qsaa5pPX_-BuQqWJ_-8FnsS4Ki0/edit?usp=sharing"",""รวมกลาง!J161"")+IMPORTRANGE(""https://docs.google.com/spreadsheets/d/1uOzBKYgpuhMUe0xXQLXSct3xZ80hakAMJHdG"&amp;"Jh9616E/edit?usp=sharing"",""รวมใต้!J161"")"),53)</f>
        <v>53</v>
      </c>
      <c r="K161" s="163"/>
      <c r="L161" s="180"/>
      <c r="M161" s="180"/>
      <c r="N161" s="180"/>
      <c r="O161" s="180"/>
      <c r="P161" s="180"/>
    </row>
    <row r="162" spans="1:16" ht="21.75" customHeight="1" x14ac:dyDescent="0.3">
      <c r="A162" s="174"/>
      <c r="B162" s="175"/>
      <c r="C162" s="175"/>
      <c r="D162" s="192"/>
      <c r="E162" s="193" t="s">
        <v>51</v>
      </c>
      <c r="F162" s="194"/>
      <c r="G162" s="195"/>
      <c r="H162" s="185"/>
      <c r="I162" s="186"/>
      <c r="J162" s="186">
        <f ca="1">IFERROR(__xludf.DUMMYFUNCTION("IMPORTRANGE(""https://docs.google.com/spreadsheets/d/1yGy89TWty5kAjAO5OL1fLLQ_DL8fVJHFf2LvMm8qymA/edit?usp=sharing"",""รวมเหนือ!J162"")+IMPORTRANGE(""https://docs.google.com/spreadsheets/d/1bWGR5Y7oTgtZIep2hLdTHG-chM0w9aHBSSpJHwm6lak/edit?usp=sharing"","""&amp;"รวมตะวันออกเฉียงเหนือ!J162"")+IMPORTRANGE(""https://docs.google.com/spreadsheets/d/1dCxWUCc_SKNp-qd8qsaa5pPX_-BuQqWJ_-8FnsS4Ki0/edit?usp=sharing"",""รวมกลาง!J162"")+IMPORTRANGE(""https://docs.google.com/spreadsheets/d/1uOzBKYgpuhMUe0xXQLXSct3xZ80hakAMJHdG"&amp;"Jh9616E/edit?usp=sharing"",""รวมใต้!J162"")"),0)</f>
        <v>0</v>
      </c>
      <c r="K162" s="163"/>
      <c r="L162" s="180"/>
      <c r="M162" s="180"/>
      <c r="N162" s="180"/>
      <c r="O162" s="180"/>
      <c r="P162" s="180"/>
    </row>
    <row r="163" spans="1:16" ht="21.75" customHeight="1" x14ac:dyDescent="0.3">
      <c r="A163" s="174"/>
      <c r="B163" s="175"/>
      <c r="C163" s="175"/>
      <c r="D163" s="202">
        <v>3</v>
      </c>
      <c r="E163" s="203" t="s">
        <v>52</v>
      </c>
      <c r="F163" s="204"/>
      <c r="G163" s="205"/>
      <c r="H163" s="185"/>
      <c r="I163" s="186"/>
      <c r="J163" s="206">
        <f ca="1">IFERROR(__xludf.DUMMYFUNCTION("IMPORTRANGE(""https://docs.google.com/spreadsheets/d/1yGy89TWty5kAjAO5OL1fLLQ_DL8fVJHFf2LvMm8qymA/edit?usp=sharing"",""รวมเหนือ!J163"")+IMPORTRANGE(""https://docs.google.com/spreadsheets/d/1bWGR5Y7oTgtZIep2hLdTHG-chM0w9aHBSSpJHwm6lak/edit?usp=sharing"","""&amp;"รวมตะวันออกเฉียงเหนือ!J163"")+IMPORTRANGE(""https://docs.google.com/spreadsheets/d/1dCxWUCc_SKNp-qd8qsaa5pPX_-BuQqWJ_-8FnsS4Ki0/edit?usp=sharing"",""รวมกลาง!J163"")+IMPORTRANGE(""https://docs.google.com/spreadsheets/d/1uOzBKYgpuhMUe0xXQLXSct3xZ80hakAMJHdG"&amp;"Jh9616E/edit?usp=sharing"",""รวมใต้!J163"")"),0)</f>
        <v>0</v>
      </c>
      <c r="K163" s="163"/>
      <c r="L163" s="180"/>
      <c r="M163" s="180"/>
      <c r="N163" s="180"/>
      <c r="O163" s="180"/>
      <c r="P163" s="180"/>
    </row>
    <row r="164" spans="1:16" ht="21.75" customHeight="1" x14ac:dyDescent="0.3">
      <c r="A164" s="266"/>
      <c r="B164" s="267"/>
      <c r="C164" s="268" t="s">
        <v>81</v>
      </c>
      <c r="D164" s="268"/>
      <c r="E164" s="268"/>
      <c r="F164" s="268"/>
      <c r="G164" s="269"/>
      <c r="H164" s="282" t="s">
        <v>82</v>
      </c>
      <c r="I164" s="283">
        <f ca="1">IFERROR(__xludf.DUMMYFUNCTION("IMPORTRANGE(""https://docs.google.com/spreadsheets/d/1yGy89TWty5kAjAO5OL1fLLQ_DL8fVJHFf2LvMm8qymA/edit?usp=sharing"",""รวมเหนือ!I164"")+IMPORTRANGE(""https://docs.google.com/spreadsheets/d/1bWGR5Y7oTgtZIep2hLdTHG-chM0w9aHBSSpJHwm6lak/edit?usp=sharing"","""&amp;"รวมตะวันออกเฉียงเหนือ!I164"")+IMPORTRANGE(""https://docs.google.com/spreadsheets/d/1dCxWUCc_SKNp-qd8qsaa5pPX_-BuQqWJ_-8FnsS4Ki0/edit?usp=sharing"",""รวมกลาง!I164"")+IMPORTRANGE(""https://docs.google.com/spreadsheets/d/1uOzBKYgpuhMUe0xXQLXSct3xZ80hakAMJHdG"&amp;"Jh9616E/edit?usp=sharing"",""รวมใต้!I164"")"),203)</f>
        <v>203</v>
      </c>
      <c r="J164" s="283">
        <f ca="1">IFERROR(__xludf.DUMMYFUNCTION("IMPORTRANGE(""https://docs.google.com/spreadsheets/d/1yGy89TWty5kAjAO5OL1fLLQ_DL8fVJHFf2LvMm8qymA/edit?usp=sharing"",""รวมเหนือ!J164"")+IMPORTRANGE(""https://docs.google.com/spreadsheets/d/1bWGR5Y7oTgtZIep2hLdTHG-chM0w9aHBSSpJHwm6lak/edit?usp=sharing"","""&amp;"รวมตะวันออกเฉียงเหนือ!J164"")+IMPORTRANGE(""https://docs.google.com/spreadsheets/d/1dCxWUCc_SKNp-qd8qsaa5pPX_-BuQqWJ_-8FnsS4Ki0/edit?usp=sharing"",""รวมกลาง!J164"")+IMPORTRANGE(""https://docs.google.com/spreadsheets/d/1uOzBKYgpuhMUe0xXQLXSct3xZ80hakAMJHdG"&amp;"Jh9616E/edit?usp=sharing"",""รวมใต้!J164"")"),183)</f>
        <v>183</v>
      </c>
      <c r="K164" s="284">
        <f ca="1">IF(I164&gt;0,J164*100/I164,0)</f>
        <v>90.14778325123153</v>
      </c>
      <c r="L164" s="273"/>
      <c r="M164" s="273"/>
      <c r="N164" s="273"/>
      <c r="O164" s="273"/>
      <c r="P164" s="273"/>
    </row>
    <row r="165" spans="1:16" ht="21.75" hidden="1" customHeight="1" x14ac:dyDescent="0.3">
      <c r="A165" s="158"/>
      <c r="B165" s="159"/>
      <c r="C165" s="159" t="s">
        <v>16</v>
      </c>
      <c r="D165" s="274" t="s">
        <v>75</v>
      </c>
      <c r="E165" s="167"/>
      <c r="F165" s="167"/>
      <c r="G165" s="160" t="s">
        <v>38</v>
      </c>
      <c r="H165" s="168" t="s">
        <v>12</v>
      </c>
      <c r="I165" s="162" t="s">
        <v>39</v>
      </c>
      <c r="J165" s="162"/>
      <c r="K165" s="163"/>
      <c r="L165" s="275"/>
      <c r="M165" s="275"/>
      <c r="N165" s="276"/>
      <c r="O165" s="276"/>
      <c r="P165" s="276"/>
    </row>
    <row r="166" spans="1:16" ht="21.75" hidden="1" customHeight="1" x14ac:dyDescent="0.3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8" t="s">
        <v>12</v>
      </c>
      <c r="I166" s="162"/>
      <c r="J166" s="162"/>
      <c r="K166" s="163"/>
      <c r="L166" s="276"/>
      <c r="M166" s="276"/>
      <c r="N166" s="276"/>
      <c r="O166" s="276"/>
      <c r="P166" s="276"/>
    </row>
    <row r="167" spans="1:16" ht="21.75" hidden="1" customHeight="1" x14ac:dyDescent="0.3">
      <c r="A167" s="158"/>
      <c r="B167" s="159"/>
      <c r="C167" s="159"/>
      <c r="D167" s="166"/>
      <c r="E167" s="167"/>
      <c r="F167" s="167"/>
      <c r="G167" s="277" t="s">
        <v>76</v>
      </c>
      <c r="H167" s="168" t="s">
        <v>12</v>
      </c>
      <c r="I167" s="162"/>
      <c r="J167" s="162"/>
      <c r="K167" s="163"/>
      <c r="L167" s="165"/>
      <c r="M167" s="165"/>
      <c r="N167" s="164"/>
      <c r="O167" s="165"/>
      <c r="P167" s="165"/>
    </row>
    <row r="168" spans="1:16" ht="21.75" customHeight="1" x14ac:dyDescent="0.3">
      <c r="A168" s="174"/>
      <c r="B168" s="175"/>
      <c r="C168" s="159" t="s">
        <v>16</v>
      </c>
      <c r="D168" s="176" t="s">
        <v>41</v>
      </c>
      <c r="E168" s="177"/>
      <c r="F168" s="177"/>
      <c r="G168" s="178"/>
      <c r="H168" s="179"/>
      <c r="I168" s="162"/>
      <c r="J168" s="162"/>
      <c r="K168" s="163"/>
      <c r="L168" s="180"/>
      <c r="M168" s="180"/>
      <c r="N168" s="180"/>
      <c r="O168" s="180"/>
      <c r="P168" s="180"/>
    </row>
    <row r="169" spans="1:16" ht="21.75" customHeight="1" x14ac:dyDescent="0.3">
      <c r="A169" s="174"/>
      <c r="B169" s="175"/>
      <c r="C169" s="175"/>
      <c r="D169" s="181">
        <v>1</v>
      </c>
      <c r="E169" s="182" t="s">
        <v>42</v>
      </c>
      <c r="F169" s="183"/>
      <c r="G169" s="184"/>
      <c r="H169" s="185"/>
      <c r="I169" s="186"/>
      <c r="J169" s="187">
        <f ca="1">IFERROR(__xludf.DUMMYFUNCTION("IMPORTRANGE(""https://docs.google.com/spreadsheets/d/1yGy89TWty5kAjAO5OL1fLLQ_DL8fVJHFf2LvMm8qymA/edit?usp=sharing"",""รวมเหนือ!J169"")+IMPORTRANGE(""https://docs.google.com/spreadsheets/d/1bWGR5Y7oTgtZIep2hLdTHG-chM0w9aHBSSpJHwm6lak/edit?usp=sharing"","""&amp;"รวมตะวันออกเฉียงเหนือ!J169"")+IMPORTRANGE(""https://docs.google.com/spreadsheets/d/1dCxWUCc_SKNp-qd8qsaa5pPX_-BuQqWJ_-8FnsS4Ki0/edit?usp=sharing"",""รวมกลาง!J169"")+IMPORTRANGE(""https://docs.google.com/spreadsheets/d/1uOzBKYgpuhMUe0xXQLXSct3xZ80hakAMJHdG"&amp;"Jh9616E/edit?usp=sharing"",""รวมใต้!J169"")"),0)</f>
        <v>0</v>
      </c>
      <c r="K169" s="163"/>
      <c r="L169" s="180"/>
      <c r="M169" s="180"/>
      <c r="N169" s="180"/>
      <c r="O169" s="180"/>
      <c r="P169" s="180"/>
    </row>
    <row r="170" spans="1:16" ht="21.75" customHeight="1" x14ac:dyDescent="0.3">
      <c r="A170" s="174"/>
      <c r="B170" s="175"/>
      <c r="C170" s="175"/>
      <c r="D170" s="188">
        <v>2</v>
      </c>
      <c r="E170" s="189" t="s">
        <v>43</v>
      </c>
      <c r="F170" s="190"/>
      <c r="G170" s="191"/>
      <c r="H170" s="185"/>
      <c r="I170" s="186"/>
      <c r="J170" s="186">
        <f ca="1">IFERROR(__xludf.DUMMYFUNCTION("IMPORTRANGE(""https://docs.google.com/spreadsheets/d/1yGy89TWty5kAjAO5OL1fLLQ_DL8fVJHFf2LvMm8qymA/edit?usp=sharing"",""รวมเหนือ!J170"")+IMPORTRANGE(""https://docs.google.com/spreadsheets/d/1bWGR5Y7oTgtZIep2hLdTHG-chM0w9aHBSSpJHwm6lak/edit?usp=sharing"","""&amp;"รวมตะวันออกเฉียงเหนือ!J170"")+IMPORTRANGE(""https://docs.google.com/spreadsheets/d/1dCxWUCc_SKNp-qd8qsaa5pPX_-BuQqWJ_-8FnsS4Ki0/edit?usp=sharing"",""รวมกลาง!J170"")+IMPORTRANGE(""https://docs.google.com/spreadsheets/d/1uOzBKYgpuhMUe0xXQLXSct3xZ80hakAMJHdG"&amp;"Jh9616E/edit?usp=sharing"",""รวมใต้!J170"")"),69)</f>
        <v>69</v>
      </c>
      <c r="K170" s="163"/>
      <c r="L170" s="180"/>
      <c r="M170" s="180"/>
      <c r="N170" s="180"/>
      <c r="O170" s="180"/>
      <c r="P170" s="180"/>
    </row>
    <row r="171" spans="1:16" ht="21.75" customHeight="1" x14ac:dyDescent="0.3">
      <c r="A171" s="174"/>
      <c r="B171" s="175"/>
      <c r="C171" s="175"/>
      <c r="D171" s="192"/>
      <c r="E171" s="193" t="s">
        <v>44</v>
      </c>
      <c r="F171" s="194"/>
      <c r="G171" s="195"/>
      <c r="H171" s="185"/>
      <c r="I171" s="186"/>
      <c r="J171" s="186">
        <f ca="1">IFERROR(__xludf.DUMMYFUNCTION("IMPORTRANGE(""https://docs.google.com/spreadsheets/d/1yGy89TWty5kAjAO5OL1fLLQ_DL8fVJHFf2LvMm8qymA/edit?usp=sharing"",""รวมเหนือ!J171"")+IMPORTRANGE(""https://docs.google.com/spreadsheets/d/1bWGR5Y7oTgtZIep2hLdTHG-chM0w9aHBSSpJHwm6lak/edit?usp=sharing"","""&amp;"รวมตะวันออกเฉียงเหนือ!J171"")+IMPORTRANGE(""https://docs.google.com/spreadsheets/d/1dCxWUCc_SKNp-qd8qsaa5pPX_-BuQqWJ_-8FnsS4Ki0/edit?usp=sharing"",""รวมกลาง!J171"")+IMPORTRANGE(""https://docs.google.com/spreadsheets/d/1uOzBKYgpuhMUe0xXQLXSct3xZ80hakAMJHdG"&amp;"Jh9616E/edit?usp=sharing"",""รวมใต้!J171"")"),65)</f>
        <v>65</v>
      </c>
      <c r="K171" s="163"/>
      <c r="L171" s="180"/>
      <c r="M171" s="180"/>
      <c r="N171" s="180"/>
      <c r="O171" s="180"/>
      <c r="P171" s="180"/>
    </row>
    <row r="172" spans="1:16" ht="21.75" customHeight="1" x14ac:dyDescent="0.3">
      <c r="A172" s="174"/>
      <c r="B172" s="175"/>
      <c r="C172" s="175"/>
      <c r="D172" s="192"/>
      <c r="E172" s="193" t="s">
        <v>45</v>
      </c>
      <c r="F172" s="194"/>
      <c r="G172" s="195"/>
      <c r="H172" s="185"/>
      <c r="I172" s="186"/>
      <c r="J172" s="186">
        <f ca="1">IFERROR(__xludf.DUMMYFUNCTION("IMPORTRANGE(""https://docs.google.com/spreadsheets/d/1yGy89TWty5kAjAO5OL1fLLQ_DL8fVJHFf2LvMm8qymA/edit?usp=sharing"",""รวมเหนือ!J172"")+IMPORTRANGE(""https://docs.google.com/spreadsheets/d/1bWGR5Y7oTgtZIep2hLdTHG-chM0w9aHBSSpJHwm6lak/edit?usp=sharing"","""&amp;"รวมตะวันออกเฉียงเหนือ!J172"")+IMPORTRANGE(""https://docs.google.com/spreadsheets/d/1dCxWUCc_SKNp-qd8qsaa5pPX_-BuQqWJ_-8FnsS4Ki0/edit?usp=sharing"",""รวมกลาง!J172"")+IMPORTRANGE(""https://docs.google.com/spreadsheets/d/1uOzBKYgpuhMUe0xXQLXSct3xZ80hakAMJHdG"&amp;"Jh9616E/edit?usp=sharing"",""รวมใต้!J172"")"),57)</f>
        <v>57</v>
      </c>
      <c r="K172" s="163"/>
      <c r="L172" s="180"/>
      <c r="M172" s="180"/>
      <c r="N172" s="180"/>
      <c r="O172" s="180"/>
      <c r="P172" s="180"/>
    </row>
    <row r="173" spans="1:16" ht="21.75" customHeight="1" x14ac:dyDescent="0.3">
      <c r="A173" s="174"/>
      <c r="B173" s="175"/>
      <c r="C173" s="175"/>
      <c r="D173" s="192"/>
      <c r="E173" s="196"/>
      <c r="F173" s="201" t="s">
        <v>83</v>
      </c>
      <c r="G173" s="195"/>
      <c r="H173" s="179" t="s">
        <v>82</v>
      </c>
      <c r="I173" s="186">
        <f ca="1">IFERROR(__xludf.DUMMYFUNCTION("IMPORTRANGE(""https://docs.google.com/spreadsheets/d/1yGy89TWty5kAjAO5OL1fLLQ_DL8fVJHFf2LvMm8qymA/edit?usp=sharing"",""รวมเหนือ!I173"")+IMPORTRANGE(""https://docs.google.com/spreadsheets/d/1bWGR5Y7oTgtZIep2hLdTHG-chM0w9aHBSSpJHwm6lak/edit?usp=sharing"","""&amp;"รวมตะวันออกเฉียงเหนือ!I173"")+IMPORTRANGE(""https://docs.google.com/spreadsheets/d/1dCxWUCc_SKNp-qd8qsaa5pPX_-BuQqWJ_-8FnsS4Ki0/edit?usp=sharing"",""รวมกลาง!I173"")+IMPORTRANGE(""https://docs.google.com/spreadsheets/d/1uOzBKYgpuhMUe0xXQLXSct3xZ80hakAMJHdG"&amp;"Jh9616E/edit?usp=sharing"",""รวมใต้!I173"")"),203)</f>
        <v>203</v>
      </c>
      <c r="J173" s="187">
        <f ca="1">IFERROR(__xludf.DUMMYFUNCTION("IMPORTRANGE(""https://docs.google.com/spreadsheets/d/1yGy89TWty5kAjAO5OL1fLLQ_DL8fVJHFf2LvMm8qymA/edit?usp=sharing"",""รวมเหนือ!J173"")+IMPORTRANGE(""https://docs.google.com/spreadsheets/d/1bWGR5Y7oTgtZIep2hLdTHG-chM0w9aHBSSpJHwm6lak/edit?usp=sharing"","""&amp;"รวมตะวันออกเฉียงเหนือ!J173"")+IMPORTRANGE(""https://docs.google.com/spreadsheets/d/1dCxWUCc_SKNp-qd8qsaa5pPX_-BuQqWJ_-8FnsS4Ki0/edit?usp=sharing"",""รวมกลาง!J173"")+IMPORTRANGE(""https://docs.google.com/spreadsheets/d/1uOzBKYgpuhMUe0xXQLXSct3xZ80hakAMJHdG"&amp;"Jh9616E/edit?usp=sharing"",""รวมใต้!J173"")"),183)</f>
        <v>183</v>
      </c>
      <c r="K173" s="163">
        <f ca="1">IF(I173&gt;0,J173*100/I173,0)</f>
        <v>90.14778325123153</v>
      </c>
      <c r="L173" s="165"/>
      <c r="M173" s="165"/>
      <c r="N173" s="164"/>
      <c r="O173" s="165"/>
      <c r="P173" s="165"/>
    </row>
    <row r="174" spans="1:16" ht="21.75" customHeight="1" x14ac:dyDescent="0.3">
      <c r="A174" s="174"/>
      <c r="B174" s="175"/>
      <c r="C174" s="175"/>
      <c r="D174" s="192"/>
      <c r="E174" s="193" t="s">
        <v>51</v>
      </c>
      <c r="F174" s="194"/>
      <c r="G174" s="195"/>
      <c r="H174" s="185"/>
      <c r="I174" s="186"/>
      <c r="J174" s="186">
        <f ca="1">IFERROR(__xludf.DUMMYFUNCTION("IMPORTRANGE(""https://docs.google.com/spreadsheets/d/1yGy89TWty5kAjAO5OL1fLLQ_DL8fVJHFf2LvMm8qymA/edit?usp=sharing"",""รวมเหนือ!J174"")+IMPORTRANGE(""https://docs.google.com/spreadsheets/d/1bWGR5Y7oTgtZIep2hLdTHG-chM0w9aHBSSpJHwm6lak/edit?usp=sharing"","""&amp;"รวมตะวันออกเฉียงเหนือ!J174"")+IMPORTRANGE(""https://docs.google.com/spreadsheets/d/1dCxWUCc_SKNp-qd8qsaa5pPX_-BuQqWJ_-8FnsS4Ki0/edit?usp=sharing"",""รวมกลาง!J174"")+IMPORTRANGE(""https://docs.google.com/spreadsheets/d/1uOzBKYgpuhMUe0xXQLXSct3xZ80hakAMJHdG"&amp;"Jh9616E/edit?usp=sharing"",""รวมใต้!J174"")"),10)</f>
        <v>10</v>
      </c>
      <c r="K174" s="163"/>
      <c r="L174" s="180"/>
      <c r="M174" s="180"/>
      <c r="N174" s="180"/>
      <c r="O174" s="180"/>
      <c r="P174" s="180"/>
    </row>
    <row r="175" spans="1:16" ht="21.75" customHeight="1" x14ac:dyDescent="0.3">
      <c r="A175" s="174"/>
      <c r="B175" s="175"/>
      <c r="C175" s="175"/>
      <c r="D175" s="202">
        <v>3</v>
      </c>
      <c r="E175" s="203" t="s">
        <v>52</v>
      </c>
      <c r="F175" s="204"/>
      <c r="G175" s="205"/>
      <c r="H175" s="185"/>
      <c r="I175" s="186"/>
      <c r="J175" s="206">
        <f ca="1">IFERROR(__xludf.DUMMYFUNCTION("IMPORTRANGE(""https://docs.google.com/spreadsheets/d/1yGy89TWty5kAjAO5OL1fLLQ_DL8fVJHFf2LvMm8qymA/edit?usp=sharing"",""รวมเหนือ!J175"")+IMPORTRANGE(""https://docs.google.com/spreadsheets/d/1bWGR5Y7oTgtZIep2hLdTHG-chM0w9aHBSSpJHwm6lak/edit?usp=sharing"","""&amp;"รวมตะวันออกเฉียงเหนือ!J175"")+IMPORTRANGE(""https://docs.google.com/spreadsheets/d/1dCxWUCc_SKNp-qd8qsaa5pPX_-BuQqWJ_-8FnsS4Ki0/edit?usp=sharing"",""รวมกลาง!J175"")+IMPORTRANGE(""https://docs.google.com/spreadsheets/d/1uOzBKYgpuhMUe0xXQLXSct3xZ80hakAMJHdG"&amp;"Jh9616E/edit?usp=sharing"",""รวมใต้!J175"")"),6)</f>
        <v>6</v>
      </c>
      <c r="K175" s="163"/>
      <c r="L175" s="180"/>
      <c r="M175" s="180"/>
      <c r="N175" s="180"/>
      <c r="O175" s="180"/>
      <c r="P175" s="180"/>
    </row>
    <row r="176" spans="1:16" ht="21.75" customHeight="1" x14ac:dyDescent="0.3">
      <c r="A176" s="266"/>
      <c r="B176" s="267"/>
      <c r="C176" s="268" t="s">
        <v>84</v>
      </c>
      <c r="D176" s="268"/>
      <c r="E176" s="268"/>
      <c r="F176" s="268"/>
      <c r="G176" s="269"/>
      <c r="H176" s="282" t="s">
        <v>82</v>
      </c>
      <c r="I176" s="283">
        <f ca="1">IFERROR(__xludf.DUMMYFUNCTION("IMPORTRANGE(""https://docs.google.com/spreadsheets/d/1yGy89TWty5kAjAO5OL1fLLQ_DL8fVJHFf2LvMm8qymA/edit?usp=sharing"",""รวมเหนือ!I176"")+IMPORTRANGE(""https://docs.google.com/spreadsheets/d/1bWGR5Y7oTgtZIep2hLdTHG-chM0w9aHBSSpJHwm6lak/edit?usp=sharing"","""&amp;"รวมตะวันออกเฉียงเหนือ!I176"")+IMPORTRANGE(""https://docs.google.com/spreadsheets/d/1dCxWUCc_SKNp-qd8qsaa5pPX_-BuQqWJ_-8FnsS4Ki0/edit?usp=sharing"",""รวมกลาง!I176"")+IMPORTRANGE(""https://docs.google.com/spreadsheets/d/1uOzBKYgpuhMUe0xXQLXSct3xZ80hakAMJHdG"&amp;"Jh9616E/edit?usp=sharing"",""รวมใต้!I176"")"),58)</f>
        <v>58</v>
      </c>
      <c r="J176" s="283">
        <f ca="1">IFERROR(__xludf.DUMMYFUNCTION("IMPORTRANGE(""https://docs.google.com/spreadsheets/d/1yGy89TWty5kAjAO5OL1fLLQ_DL8fVJHFf2LvMm8qymA/edit?usp=sharing"",""รวมเหนือ!J176"")+IMPORTRANGE(""https://docs.google.com/spreadsheets/d/1bWGR5Y7oTgtZIep2hLdTHG-chM0w9aHBSSpJHwm6lak/edit?usp=sharing"","""&amp;"รวมตะวันออกเฉียงเหนือ!J176"")+IMPORTRANGE(""https://docs.google.com/spreadsheets/d/1dCxWUCc_SKNp-qd8qsaa5pPX_-BuQqWJ_-8FnsS4Ki0/edit?usp=sharing"",""รวมกลาง!J176"")+IMPORTRANGE(""https://docs.google.com/spreadsheets/d/1uOzBKYgpuhMUe0xXQLXSct3xZ80hakAMJHdG"&amp;"Jh9616E/edit?usp=sharing"",""รวมใต้!J176"")"),54)</f>
        <v>54</v>
      </c>
      <c r="K176" s="284">
        <f ca="1">IF(I176&gt;0,J176*100/I176,0)</f>
        <v>93.103448275862064</v>
      </c>
      <c r="L176" s="273"/>
      <c r="M176" s="273"/>
      <c r="N176" s="273"/>
      <c r="O176" s="273"/>
      <c r="P176" s="273"/>
    </row>
    <row r="177" spans="1:16" ht="21.75" hidden="1" customHeight="1" x14ac:dyDescent="0.3">
      <c r="A177" s="158"/>
      <c r="B177" s="159"/>
      <c r="C177" s="159" t="s">
        <v>16</v>
      </c>
      <c r="D177" s="274" t="s">
        <v>75</v>
      </c>
      <c r="E177" s="167"/>
      <c r="F177" s="167"/>
      <c r="G177" s="160" t="s">
        <v>38</v>
      </c>
      <c r="H177" s="168" t="s">
        <v>12</v>
      </c>
      <c r="I177" s="162" t="s">
        <v>39</v>
      </c>
      <c r="J177" s="162"/>
      <c r="K177" s="163"/>
      <c r="L177" s="275"/>
      <c r="M177" s="275"/>
      <c r="N177" s="276"/>
      <c r="O177" s="276"/>
      <c r="P177" s="276"/>
    </row>
    <row r="178" spans="1:16" ht="21.75" hidden="1" customHeight="1" x14ac:dyDescent="0.3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8" t="s">
        <v>12</v>
      </c>
      <c r="I178" s="162"/>
      <c r="J178" s="162"/>
      <c r="K178" s="163"/>
      <c r="L178" s="276"/>
      <c r="M178" s="276"/>
      <c r="N178" s="276"/>
      <c r="O178" s="276"/>
      <c r="P178" s="276"/>
    </row>
    <row r="179" spans="1:16" ht="21.75" hidden="1" customHeight="1" x14ac:dyDescent="0.3">
      <c r="A179" s="158"/>
      <c r="B179" s="159"/>
      <c r="C179" s="159"/>
      <c r="D179" s="166"/>
      <c r="E179" s="167"/>
      <c r="F179" s="167"/>
      <c r="G179" s="277" t="s">
        <v>76</v>
      </c>
      <c r="H179" s="168" t="s">
        <v>12</v>
      </c>
      <c r="I179" s="162"/>
      <c r="J179" s="186"/>
      <c r="K179" s="221"/>
      <c r="L179" s="165"/>
      <c r="M179" s="165"/>
      <c r="N179" s="164"/>
      <c r="O179" s="165"/>
      <c r="P179" s="165"/>
    </row>
    <row r="180" spans="1:16" ht="21.75" customHeight="1" x14ac:dyDescent="0.3">
      <c r="A180" s="174"/>
      <c r="B180" s="175"/>
      <c r="C180" s="159" t="s">
        <v>16</v>
      </c>
      <c r="D180" s="176" t="s">
        <v>41</v>
      </c>
      <c r="E180" s="177"/>
      <c r="F180" s="177"/>
      <c r="G180" s="178"/>
      <c r="H180" s="179"/>
      <c r="I180" s="162"/>
      <c r="J180" s="186"/>
      <c r="K180" s="221"/>
      <c r="L180" s="165"/>
      <c r="M180" s="165"/>
      <c r="N180" s="165"/>
      <c r="O180" s="180"/>
      <c r="P180" s="180"/>
    </row>
    <row r="181" spans="1:16" ht="21.75" customHeight="1" x14ac:dyDescent="0.3">
      <c r="A181" s="174"/>
      <c r="B181" s="175"/>
      <c r="C181" s="175"/>
      <c r="D181" s="181">
        <v>1</v>
      </c>
      <c r="E181" s="182" t="s">
        <v>42</v>
      </c>
      <c r="F181" s="183"/>
      <c r="G181" s="184"/>
      <c r="H181" s="185"/>
      <c r="I181" s="186"/>
      <c r="J181" s="186">
        <f ca="1">IFERROR(__xludf.DUMMYFUNCTION("IMPORTRANGE(""https://docs.google.com/spreadsheets/d/1yGy89TWty5kAjAO5OL1fLLQ_DL8fVJHFf2LvMm8qymA/edit?usp=sharing"",""รวมเหนือ!J181"")+IMPORTRANGE(""https://docs.google.com/spreadsheets/d/1bWGR5Y7oTgtZIep2hLdTHG-chM0w9aHBSSpJHwm6lak/edit?usp=sharing"","""&amp;"รวมตะวันออกเฉียงเหนือ!J181"")+IMPORTRANGE(""https://docs.google.com/spreadsheets/d/1dCxWUCc_SKNp-qd8qsaa5pPX_-BuQqWJ_-8FnsS4Ki0/edit?usp=sharing"",""รวมกลาง!J181"")+IMPORTRANGE(""https://docs.google.com/spreadsheets/d/1uOzBKYgpuhMUe0xXQLXSct3xZ80hakAMJHdG"&amp;"Jh9616E/edit?usp=sharing"",""รวมใต้!J181"")"),0)</f>
        <v>0</v>
      </c>
      <c r="K181" s="221"/>
      <c r="L181" s="165"/>
      <c r="M181" s="165"/>
      <c r="N181" s="165"/>
      <c r="O181" s="180"/>
      <c r="P181" s="180"/>
    </row>
    <row r="182" spans="1:16" ht="21.75" customHeight="1" x14ac:dyDescent="0.3">
      <c r="A182" s="174"/>
      <c r="B182" s="175"/>
      <c r="C182" s="175"/>
      <c r="D182" s="188">
        <v>2</v>
      </c>
      <c r="E182" s="189" t="s">
        <v>43</v>
      </c>
      <c r="F182" s="190"/>
      <c r="G182" s="191"/>
      <c r="H182" s="185"/>
      <c r="I182" s="186"/>
      <c r="J182" s="186">
        <f ca="1">IFERROR(__xludf.DUMMYFUNCTION("IMPORTRANGE(""https://docs.google.com/spreadsheets/d/1yGy89TWty5kAjAO5OL1fLLQ_DL8fVJHFf2LvMm8qymA/edit?usp=sharing"",""รวมเหนือ!J182"")+IMPORTRANGE(""https://docs.google.com/spreadsheets/d/1bWGR5Y7oTgtZIep2hLdTHG-chM0w9aHBSSpJHwm6lak/edit?usp=sharing"","""&amp;"รวมตะวันออกเฉียงเหนือ!J182"")+IMPORTRANGE(""https://docs.google.com/spreadsheets/d/1dCxWUCc_SKNp-qd8qsaa5pPX_-BuQqWJ_-8FnsS4Ki0/edit?usp=sharing"",""รวมกลาง!J182"")+IMPORTRANGE(""https://docs.google.com/spreadsheets/d/1uOzBKYgpuhMUe0xXQLXSct3xZ80hakAMJHdG"&amp;"Jh9616E/edit?usp=sharing"",""รวมใต้!J182"")"),24)</f>
        <v>24</v>
      </c>
      <c r="K182" s="221"/>
      <c r="L182" s="165"/>
      <c r="M182" s="165"/>
      <c r="N182" s="165"/>
      <c r="O182" s="180"/>
      <c r="P182" s="180"/>
    </row>
    <row r="183" spans="1:16" ht="21.75" customHeight="1" x14ac:dyDescent="0.3">
      <c r="A183" s="174"/>
      <c r="B183" s="175"/>
      <c r="C183" s="175"/>
      <c r="D183" s="192"/>
      <c r="E183" s="193" t="s">
        <v>44</v>
      </c>
      <c r="F183" s="194"/>
      <c r="G183" s="195"/>
      <c r="H183" s="185"/>
      <c r="I183" s="186"/>
      <c r="J183" s="186">
        <f ca="1">IFERROR(__xludf.DUMMYFUNCTION("IMPORTRANGE(""https://docs.google.com/spreadsheets/d/1yGy89TWty5kAjAO5OL1fLLQ_DL8fVJHFf2LvMm8qymA/edit?usp=sharing"",""รวมเหนือ!J183"")+IMPORTRANGE(""https://docs.google.com/spreadsheets/d/1bWGR5Y7oTgtZIep2hLdTHG-chM0w9aHBSSpJHwm6lak/edit?usp=sharing"","""&amp;"รวมตะวันออกเฉียงเหนือ!J183"")+IMPORTRANGE(""https://docs.google.com/spreadsheets/d/1dCxWUCc_SKNp-qd8qsaa5pPX_-BuQqWJ_-8FnsS4Ki0/edit?usp=sharing"",""รวมกลาง!J183"")+IMPORTRANGE(""https://docs.google.com/spreadsheets/d/1uOzBKYgpuhMUe0xXQLXSct3xZ80hakAMJHdG"&amp;"Jh9616E/edit?usp=sharing"",""รวมใต้!J183"")"),21)</f>
        <v>21</v>
      </c>
      <c r="K183" s="221"/>
      <c r="L183" s="165"/>
      <c r="M183" s="165"/>
      <c r="N183" s="165"/>
      <c r="O183" s="180"/>
      <c r="P183" s="180"/>
    </row>
    <row r="184" spans="1:16" ht="21.75" customHeight="1" x14ac:dyDescent="0.3">
      <c r="A184" s="174"/>
      <c r="B184" s="175"/>
      <c r="C184" s="175"/>
      <c r="D184" s="192"/>
      <c r="E184" s="193" t="s">
        <v>45</v>
      </c>
      <c r="F184" s="194"/>
      <c r="G184" s="195"/>
      <c r="H184" s="185"/>
      <c r="I184" s="186"/>
      <c r="J184" s="186">
        <f ca="1">IFERROR(__xludf.DUMMYFUNCTION("IMPORTRANGE(""https://docs.google.com/spreadsheets/d/1yGy89TWty5kAjAO5OL1fLLQ_DL8fVJHFf2LvMm8qymA/edit?usp=sharing"",""รวมเหนือ!J184"")+IMPORTRANGE(""https://docs.google.com/spreadsheets/d/1bWGR5Y7oTgtZIep2hLdTHG-chM0w9aHBSSpJHwm6lak/edit?usp=sharing"","""&amp;"รวมตะวันออกเฉียงเหนือ!J184"")+IMPORTRANGE(""https://docs.google.com/spreadsheets/d/1dCxWUCc_SKNp-qd8qsaa5pPX_-BuQqWJ_-8FnsS4Ki0/edit?usp=sharing"",""รวมกลาง!J184"")+IMPORTRANGE(""https://docs.google.com/spreadsheets/d/1uOzBKYgpuhMUe0xXQLXSct3xZ80hakAMJHdG"&amp;"Jh9616E/edit?usp=sharing"",""รวมใต้!J184"")"),19)</f>
        <v>19</v>
      </c>
      <c r="K184" s="221"/>
      <c r="L184" s="165"/>
      <c r="M184" s="165"/>
      <c r="N184" s="165"/>
      <c r="O184" s="180"/>
      <c r="P184" s="180"/>
    </row>
    <row r="185" spans="1:16" ht="21.75" customHeight="1" x14ac:dyDescent="0.3">
      <c r="A185" s="174"/>
      <c r="B185" s="175"/>
      <c r="C185" s="175"/>
      <c r="D185" s="192"/>
      <c r="E185" s="196"/>
      <c r="F185" s="193" t="s">
        <v>85</v>
      </c>
      <c r="G185" s="195"/>
      <c r="H185" s="179" t="s">
        <v>82</v>
      </c>
      <c r="I185" s="186">
        <f ca="1">IFERROR(__xludf.DUMMYFUNCTION("IMPORTRANGE(""https://docs.google.com/spreadsheets/d/1yGy89TWty5kAjAO5OL1fLLQ_DL8fVJHFf2LvMm8qymA/edit?usp=sharing"",""รวมเหนือ!I185"")+IMPORTRANGE(""https://docs.google.com/spreadsheets/d/1bWGR5Y7oTgtZIep2hLdTHG-chM0w9aHBSSpJHwm6lak/edit?usp=sharing"","""&amp;"รวมตะวันออกเฉียงเหนือ!I185"")+IMPORTRANGE(""https://docs.google.com/spreadsheets/d/1dCxWUCc_SKNp-qd8qsaa5pPX_-BuQqWJ_-8FnsS4Ki0/edit?usp=sharing"",""รวมกลาง!I185"")+IMPORTRANGE(""https://docs.google.com/spreadsheets/d/1uOzBKYgpuhMUe0xXQLXSct3xZ80hakAMJHdG"&amp;"Jh9616E/edit?usp=sharing"",""รวมใต้!I185"")"),58)</f>
        <v>58</v>
      </c>
      <c r="J185" s="187">
        <f ca="1">IFERROR(__xludf.DUMMYFUNCTION("IMPORTRANGE(""https://docs.google.com/spreadsheets/d/1yGy89TWty5kAjAO5OL1fLLQ_DL8fVJHFf2LvMm8qymA/edit?usp=sharing"",""รวมเหนือ!J185"")+IMPORTRANGE(""https://docs.google.com/spreadsheets/d/1bWGR5Y7oTgtZIep2hLdTHG-chM0w9aHBSSpJHwm6lak/edit?usp=sharing"","""&amp;"รวมตะวันออกเฉียงเหนือ!J185"")+IMPORTRANGE(""https://docs.google.com/spreadsheets/d/1dCxWUCc_SKNp-qd8qsaa5pPX_-BuQqWJ_-8FnsS4Ki0/edit?usp=sharing"",""รวมกลาง!J185"")+IMPORTRANGE(""https://docs.google.com/spreadsheets/d/1uOzBKYgpuhMUe0xXQLXSct3xZ80hakAMJHdG"&amp;"Jh9616E/edit?usp=sharing"",""รวมใต้!J185"")"),6)</f>
        <v>6</v>
      </c>
      <c r="K185" s="221">
        <f t="shared" ref="K185:K186" ca="1" si="71">IF(I185&gt;0,J185*100/I185,0)</f>
        <v>10.344827586206897</v>
      </c>
      <c r="L185" s="165"/>
      <c r="M185" s="165"/>
      <c r="N185" s="164"/>
      <c r="O185" s="165"/>
      <c r="P185" s="165"/>
    </row>
    <row r="186" spans="1:16" ht="21.75" customHeight="1" x14ac:dyDescent="0.3">
      <c r="A186" s="174"/>
      <c r="B186" s="175"/>
      <c r="C186" s="175"/>
      <c r="D186" s="192"/>
      <c r="E186" s="196"/>
      <c r="F186" s="193" t="s">
        <v>86</v>
      </c>
      <c r="G186" s="195"/>
      <c r="H186" s="179" t="s">
        <v>82</v>
      </c>
      <c r="I186" s="186">
        <f ca="1">IFERROR(__xludf.DUMMYFUNCTION("IMPORTRANGE(""https://docs.google.com/spreadsheets/d/1yGy89TWty5kAjAO5OL1fLLQ_DL8fVJHFf2LvMm8qymA/edit?usp=sharing"",""รวมเหนือ!I186"")+IMPORTRANGE(""https://docs.google.com/spreadsheets/d/1bWGR5Y7oTgtZIep2hLdTHG-chM0w9aHBSSpJHwm6lak/edit?usp=sharing"","""&amp;"รวมตะวันออกเฉียงเหนือ!I186"")+IMPORTRANGE(""https://docs.google.com/spreadsheets/d/1dCxWUCc_SKNp-qd8qsaa5pPX_-BuQqWJ_-8FnsS4Ki0/edit?usp=sharing"",""รวมกลาง!I186"")+IMPORTRANGE(""https://docs.google.com/spreadsheets/d/1uOzBKYgpuhMUe0xXQLXSct3xZ80hakAMJHdG"&amp;"Jh9616E/edit?usp=sharing"",""รวมใต้!I186"")"),58)</f>
        <v>58</v>
      </c>
      <c r="J186" s="187">
        <f ca="1">IFERROR(__xludf.DUMMYFUNCTION("IMPORTRANGE(""https://docs.google.com/spreadsheets/d/1yGy89TWty5kAjAO5OL1fLLQ_DL8fVJHFf2LvMm8qymA/edit?usp=sharing"",""รวมเหนือ!J186"")+IMPORTRANGE(""https://docs.google.com/spreadsheets/d/1bWGR5Y7oTgtZIep2hLdTHG-chM0w9aHBSSpJHwm6lak/edit?usp=sharing"","""&amp;"รวมตะวันออกเฉียงเหนือ!J186"")+IMPORTRANGE(""https://docs.google.com/spreadsheets/d/1dCxWUCc_SKNp-qd8qsaa5pPX_-BuQqWJ_-8FnsS4Ki0/edit?usp=sharing"",""รวมกลาง!J186"")+IMPORTRANGE(""https://docs.google.com/spreadsheets/d/1uOzBKYgpuhMUe0xXQLXSct3xZ80hakAMJHdG"&amp;"Jh9616E/edit?usp=sharing"",""รวมใต้!J186"")"),54)</f>
        <v>54</v>
      </c>
      <c r="K186" s="221">
        <f t="shared" ca="1" si="71"/>
        <v>93.103448275862064</v>
      </c>
      <c r="L186" s="165"/>
      <c r="M186" s="165"/>
      <c r="N186" s="164"/>
      <c r="O186" s="165"/>
      <c r="P186" s="165"/>
    </row>
    <row r="187" spans="1:16" ht="21.75" customHeight="1" x14ac:dyDescent="0.3">
      <c r="A187" s="174"/>
      <c r="B187" s="175"/>
      <c r="C187" s="175"/>
      <c r="D187" s="192"/>
      <c r="E187" s="193" t="s">
        <v>51</v>
      </c>
      <c r="F187" s="194"/>
      <c r="G187" s="195"/>
      <c r="H187" s="185"/>
      <c r="I187" s="186"/>
      <c r="J187" s="186">
        <f ca="1">IFERROR(__xludf.DUMMYFUNCTION("IMPORTRANGE(""https://docs.google.com/spreadsheets/d/1yGy89TWty5kAjAO5OL1fLLQ_DL8fVJHFf2LvMm8qymA/edit?usp=sharing"",""รวมเหนือ!J187"")+IMPORTRANGE(""https://docs.google.com/spreadsheets/d/1bWGR5Y7oTgtZIep2hLdTHG-chM0w9aHBSSpJHwm6lak/edit?usp=sharing"","""&amp;"รวมตะวันออกเฉียงเหนือ!J187"")+IMPORTRANGE(""https://docs.google.com/spreadsheets/d/1dCxWUCc_SKNp-qd8qsaa5pPX_-BuQqWJ_-8FnsS4Ki0/edit?usp=sharing"",""รวมกลาง!J187"")+IMPORTRANGE(""https://docs.google.com/spreadsheets/d/1uOzBKYgpuhMUe0xXQLXSct3xZ80hakAMJHdG"&amp;"Jh9616E/edit?usp=sharing"",""รวมใต้!J187"")"),0)</f>
        <v>0</v>
      </c>
      <c r="K187" s="221"/>
      <c r="L187" s="165"/>
      <c r="M187" s="165"/>
      <c r="N187" s="165"/>
      <c r="O187" s="180"/>
      <c r="P187" s="180"/>
    </row>
    <row r="188" spans="1:16" ht="21.75" customHeight="1" x14ac:dyDescent="0.3">
      <c r="A188" s="174"/>
      <c r="B188" s="175"/>
      <c r="C188" s="175"/>
      <c r="D188" s="202">
        <v>3</v>
      </c>
      <c r="E188" s="203" t="s">
        <v>52</v>
      </c>
      <c r="F188" s="204"/>
      <c r="G188" s="205"/>
      <c r="H188" s="185"/>
      <c r="I188" s="186"/>
      <c r="J188" s="206">
        <f ca="1">IFERROR(__xludf.DUMMYFUNCTION("IMPORTRANGE(""https://docs.google.com/spreadsheets/d/1yGy89TWty5kAjAO5OL1fLLQ_DL8fVJHFf2LvMm8qymA/edit?usp=sharing"",""รวมเหนือ!J188"")+IMPORTRANGE(""https://docs.google.com/spreadsheets/d/1bWGR5Y7oTgtZIep2hLdTHG-chM0w9aHBSSpJHwm6lak/edit?usp=sharing"","""&amp;"รวมตะวันออกเฉียงเหนือ!J188"")+IMPORTRANGE(""https://docs.google.com/spreadsheets/d/1dCxWUCc_SKNp-qd8qsaa5pPX_-BuQqWJ_-8FnsS4Ki0/edit?usp=sharing"",""รวมกลาง!J188"")+IMPORTRANGE(""https://docs.google.com/spreadsheets/d/1uOzBKYgpuhMUe0xXQLXSct3xZ80hakAMJHdG"&amp;"Jh9616E/edit?usp=sharing"",""รวมใต้!J188"")"),0)</f>
        <v>0</v>
      </c>
      <c r="K188" s="221"/>
      <c r="L188" s="165"/>
      <c r="M188" s="165"/>
      <c r="N188" s="165"/>
      <c r="O188" s="180"/>
      <c r="P188" s="180"/>
    </row>
    <row r="189" spans="1:16" ht="21.75" customHeight="1" x14ac:dyDescent="0.3">
      <c r="A189" s="266"/>
      <c r="B189" s="267"/>
      <c r="C189" s="268" t="s">
        <v>87</v>
      </c>
      <c r="D189" s="268"/>
      <c r="E189" s="268"/>
      <c r="F189" s="268"/>
      <c r="G189" s="269"/>
      <c r="H189" s="285" t="s">
        <v>88</v>
      </c>
      <c r="I189" s="283">
        <f ca="1">IFERROR(__xludf.DUMMYFUNCTION("IMPORTRANGE(""https://docs.google.com/spreadsheets/d/1yGy89TWty5kAjAO5OL1fLLQ_DL8fVJHFf2LvMm8qymA/edit?usp=sharing"",""รวมเหนือ!I189"")+IMPORTRANGE(""https://docs.google.com/spreadsheets/d/1bWGR5Y7oTgtZIep2hLdTHG-chM0w9aHBSSpJHwm6lak/edit?usp=sharing"","""&amp;"รวมตะวันออกเฉียงเหนือ!I189"")+IMPORTRANGE(""https://docs.google.com/spreadsheets/d/1dCxWUCc_SKNp-qd8qsaa5pPX_-BuQqWJ_-8FnsS4Ki0/edit?usp=sharing"",""รวมกลาง!I189"")+IMPORTRANGE(""https://docs.google.com/spreadsheets/d/1uOzBKYgpuhMUe0xXQLXSct3xZ80hakAMJHdG"&amp;"Jh9616E/edit?usp=sharing"",""รวมใต้!I189"")"),2857800)</f>
        <v>2857800</v>
      </c>
      <c r="J189" s="283">
        <f ca="1">IFERROR(__xludf.DUMMYFUNCTION("IMPORTRANGE(""https://docs.google.com/spreadsheets/d/1yGy89TWty5kAjAO5OL1fLLQ_DL8fVJHFf2LvMm8qymA/edit?usp=sharing"",""รวมเหนือ!J189"")+IMPORTRANGE(""https://docs.google.com/spreadsheets/d/1bWGR5Y7oTgtZIep2hLdTHG-chM0w9aHBSSpJHwm6lak/edit?usp=sharing"","""&amp;"รวมตะวันออกเฉียงเหนือ!J189"")+IMPORTRANGE(""https://docs.google.com/spreadsheets/d/1dCxWUCc_SKNp-qd8qsaa5pPX_-BuQqWJ_-8FnsS4Ki0/edit?usp=sharing"",""รวมกลาง!J189"")+IMPORTRANGE(""https://docs.google.com/spreadsheets/d/1uOzBKYgpuhMUe0xXQLXSct3xZ80hakAMJHdG"&amp;"Jh9616E/edit?usp=sharing"",""รวมใต้!J189"")"),0)</f>
        <v>0</v>
      </c>
      <c r="K189" s="284">
        <f ca="1">IF(I189&gt;0,J189*100/I189,0)</f>
        <v>0</v>
      </c>
      <c r="L189" s="273"/>
      <c r="M189" s="273"/>
      <c r="N189" s="273"/>
      <c r="O189" s="273"/>
      <c r="P189" s="273"/>
    </row>
    <row r="190" spans="1:16" ht="21.75" hidden="1" customHeight="1" x14ac:dyDescent="0.3">
      <c r="A190" s="158"/>
      <c r="B190" s="159"/>
      <c r="C190" s="159" t="s">
        <v>16</v>
      </c>
      <c r="D190" s="274" t="s">
        <v>75</v>
      </c>
      <c r="E190" s="167"/>
      <c r="F190" s="167"/>
      <c r="G190" s="160" t="s">
        <v>38</v>
      </c>
      <c r="H190" s="168" t="s">
        <v>12</v>
      </c>
      <c r="I190" s="162" t="s">
        <v>39</v>
      </c>
      <c r="J190" s="162"/>
      <c r="K190" s="163"/>
      <c r="L190" s="275"/>
      <c r="M190" s="275"/>
      <c r="N190" s="276"/>
      <c r="O190" s="276"/>
      <c r="P190" s="276"/>
    </row>
    <row r="191" spans="1:16" ht="21.75" hidden="1" customHeight="1" x14ac:dyDescent="0.3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8" t="s">
        <v>12</v>
      </c>
      <c r="I191" s="162"/>
      <c r="J191" s="162"/>
      <c r="K191" s="163"/>
      <c r="L191" s="276"/>
      <c r="M191" s="276"/>
      <c r="N191" s="276"/>
      <c r="O191" s="276"/>
      <c r="P191" s="276"/>
    </row>
    <row r="192" spans="1:16" ht="21.75" hidden="1" customHeight="1" x14ac:dyDescent="0.3">
      <c r="A192" s="158"/>
      <c r="B192" s="159"/>
      <c r="C192" s="159"/>
      <c r="D192" s="166"/>
      <c r="E192" s="167"/>
      <c r="F192" s="167"/>
      <c r="G192" s="277" t="s">
        <v>76</v>
      </c>
      <c r="H192" s="168" t="s">
        <v>12</v>
      </c>
      <c r="I192" s="162"/>
      <c r="J192" s="162"/>
      <c r="K192" s="163"/>
      <c r="L192" s="165"/>
      <c r="M192" s="165"/>
      <c r="N192" s="164"/>
      <c r="O192" s="165"/>
      <c r="P192" s="165"/>
    </row>
    <row r="193" spans="1:16" ht="21.75" customHeight="1" x14ac:dyDescent="0.3">
      <c r="A193" s="174"/>
      <c r="B193" s="175"/>
      <c r="C193" s="159" t="s">
        <v>16</v>
      </c>
      <c r="D193" s="176" t="s">
        <v>41</v>
      </c>
      <c r="E193" s="177"/>
      <c r="F193" s="177"/>
      <c r="G193" s="178"/>
      <c r="H193" s="179"/>
      <c r="I193" s="162"/>
      <c r="J193" s="162"/>
      <c r="K193" s="163"/>
      <c r="L193" s="180"/>
      <c r="M193" s="180"/>
      <c r="N193" s="180"/>
      <c r="O193" s="180"/>
      <c r="P193" s="180"/>
    </row>
    <row r="194" spans="1:16" ht="21.75" customHeight="1" x14ac:dyDescent="0.3">
      <c r="A194" s="174"/>
      <c r="B194" s="175"/>
      <c r="C194" s="175"/>
      <c r="D194" s="181">
        <v>1</v>
      </c>
      <c r="E194" s="182" t="s">
        <v>42</v>
      </c>
      <c r="F194" s="183"/>
      <c r="G194" s="184"/>
      <c r="H194" s="185"/>
      <c r="I194" s="186"/>
      <c r="J194" s="186">
        <f ca="1">IFERROR(__xludf.DUMMYFUNCTION("IMPORTRANGE(""https://docs.google.com/spreadsheets/d/1yGy89TWty5kAjAO5OL1fLLQ_DL8fVJHFf2LvMm8qymA/edit?usp=sharing"",""รวมเหนือ!J194"")+IMPORTRANGE(""https://docs.google.com/spreadsheets/d/1bWGR5Y7oTgtZIep2hLdTHG-chM0w9aHBSSpJHwm6lak/edit?usp=sharing"","""&amp;"รวมตะวันออกเฉียงเหนือ!J194"")+IMPORTRANGE(""https://docs.google.com/spreadsheets/d/1dCxWUCc_SKNp-qd8qsaa5pPX_-BuQqWJ_-8FnsS4Ki0/edit?usp=sharing"",""รวมกลาง!J194"")+IMPORTRANGE(""https://docs.google.com/spreadsheets/d/1uOzBKYgpuhMUe0xXQLXSct3xZ80hakAMJHdG"&amp;"Jh9616E/edit?usp=sharing"",""รวมใต้!J194"")"),13)</f>
        <v>13</v>
      </c>
      <c r="K194" s="163"/>
      <c r="L194" s="180"/>
      <c r="M194" s="180"/>
      <c r="N194" s="180"/>
      <c r="O194" s="180"/>
      <c r="P194" s="180"/>
    </row>
    <row r="195" spans="1:16" ht="21.75" customHeight="1" x14ac:dyDescent="0.3">
      <c r="A195" s="174"/>
      <c r="B195" s="175"/>
      <c r="C195" s="175"/>
      <c r="D195" s="188">
        <v>2</v>
      </c>
      <c r="E195" s="189" t="s">
        <v>43</v>
      </c>
      <c r="F195" s="190"/>
      <c r="G195" s="191"/>
      <c r="H195" s="185"/>
      <c r="I195" s="186"/>
      <c r="J195" s="187">
        <f ca="1">IFERROR(__xludf.DUMMYFUNCTION("IMPORTRANGE(""https://docs.google.com/spreadsheets/d/1yGy89TWty5kAjAO5OL1fLLQ_DL8fVJHFf2LvMm8qymA/edit?usp=sharing"",""รวมเหนือ!J195"")+IMPORTRANGE(""https://docs.google.com/spreadsheets/d/1bWGR5Y7oTgtZIep2hLdTHG-chM0w9aHBSSpJHwm6lak/edit?usp=sharing"","""&amp;"รวมตะวันออกเฉียงเหนือ!J195"")+IMPORTRANGE(""https://docs.google.com/spreadsheets/d/1dCxWUCc_SKNp-qd8qsaa5pPX_-BuQqWJ_-8FnsS4Ki0/edit?usp=sharing"",""รวมกลาง!J195"")+IMPORTRANGE(""https://docs.google.com/spreadsheets/d/1uOzBKYgpuhMUe0xXQLXSct3xZ80hakAMJHdG"&amp;"Jh9616E/edit?usp=sharing"",""รวมใต้!J195"")"),58)</f>
        <v>58</v>
      </c>
      <c r="K195" s="163"/>
      <c r="L195" s="180"/>
      <c r="M195" s="180"/>
      <c r="N195" s="180"/>
      <c r="O195" s="180"/>
      <c r="P195" s="180"/>
    </row>
    <row r="196" spans="1:16" ht="21.75" customHeight="1" x14ac:dyDescent="0.3">
      <c r="A196" s="174"/>
      <c r="B196" s="175"/>
      <c r="C196" s="175"/>
      <c r="D196" s="192"/>
      <c r="E196" s="193" t="s">
        <v>44</v>
      </c>
      <c r="F196" s="194"/>
      <c r="G196" s="195"/>
      <c r="H196" s="185"/>
      <c r="I196" s="186"/>
      <c r="J196" s="187">
        <f ca="1">IFERROR(__xludf.DUMMYFUNCTION("IMPORTRANGE(""https://docs.google.com/spreadsheets/d/1yGy89TWty5kAjAO5OL1fLLQ_DL8fVJHFf2LvMm8qymA/edit?usp=sharing"",""รวมเหนือ!J196"")+IMPORTRANGE(""https://docs.google.com/spreadsheets/d/1bWGR5Y7oTgtZIep2hLdTHG-chM0w9aHBSSpJHwm6lak/edit?usp=sharing"","""&amp;"รวมตะวันออกเฉียงเหนือ!J196"")+IMPORTRANGE(""https://docs.google.com/spreadsheets/d/1dCxWUCc_SKNp-qd8qsaa5pPX_-BuQqWJ_-8FnsS4Ki0/edit?usp=sharing"",""รวมกลาง!J196"")+IMPORTRANGE(""https://docs.google.com/spreadsheets/d/1uOzBKYgpuhMUe0xXQLXSct3xZ80hakAMJHdG"&amp;"Jh9616E/edit?usp=sharing"",""รวมใต้!J196"")"),46)</f>
        <v>46</v>
      </c>
      <c r="K196" s="163"/>
      <c r="L196" s="180"/>
      <c r="M196" s="180"/>
      <c r="N196" s="180"/>
      <c r="O196" s="180"/>
      <c r="P196" s="180"/>
    </row>
    <row r="197" spans="1:16" ht="21.75" customHeight="1" x14ac:dyDescent="0.3">
      <c r="A197" s="174"/>
      <c r="B197" s="175"/>
      <c r="C197" s="175"/>
      <c r="D197" s="192"/>
      <c r="E197" s="193" t="s">
        <v>45</v>
      </c>
      <c r="F197" s="194"/>
      <c r="G197" s="195"/>
      <c r="H197" s="185"/>
      <c r="I197" s="186"/>
      <c r="J197" s="186">
        <f ca="1">IFERROR(__xludf.DUMMYFUNCTION("IMPORTRANGE(""https://docs.google.com/spreadsheets/d/1yGy89TWty5kAjAO5OL1fLLQ_DL8fVJHFf2LvMm8qymA/edit?usp=sharing"",""รวมเหนือ!J197"")+IMPORTRANGE(""https://docs.google.com/spreadsheets/d/1bWGR5Y7oTgtZIep2hLdTHG-chM0w9aHBSSpJHwm6lak/edit?usp=sharing"","""&amp;"รวมตะวันออกเฉียงเหนือ!J197"")+IMPORTRANGE(""https://docs.google.com/spreadsheets/d/1dCxWUCc_SKNp-qd8qsaa5pPX_-BuQqWJ_-8FnsS4Ki0/edit?usp=sharing"",""รวมกลาง!J197"")+IMPORTRANGE(""https://docs.google.com/spreadsheets/d/1uOzBKYgpuhMUe0xXQLXSct3xZ80hakAMJHdG"&amp;"Jh9616E/edit?usp=sharing"",""รวมใต้!J197"")"),36)</f>
        <v>36</v>
      </c>
      <c r="K197" s="163"/>
      <c r="L197" s="180"/>
      <c r="M197" s="180"/>
      <c r="N197" s="180"/>
      <c r="O197" s="180"/>
      <c r="P197" s="180"/>
    </row>
    <row r="198" spans="1:16" ht="21.75" customHeight="1" x14ac:dyDescent="0.3">
      <c r="A198" s="174"/>
      <c r="B198" s="175"/>
      <c r="C198" s="175"/>
      <c r="D198" s="192"/>
      <c r="E198" s="194"/>
      <c r="F198" s="194" t="s">
        <v>89</v>
      </c>
      <c r="G198" s="195"/>
      <c r="H198" s="179"/>
      <c r="I198" s="186"/>
      <c r="J198" s="186">
        <f ca="1">IFERROR(__xludf.DUMMYFUNCTION("IMPORTRANGE(""https://docs.google.com/spreadsheets/d/1yGy89TWty5kAjAO5OL1fLLQ_DL8fVJHFf2LvMm8qymA/edit?usp=sharing"",""รวมเหนือ!J198"")+IMPORTRANGE(""https://docs.google.com/spreadsheets/d/1bWGR5Y7oTgtZIep2hLdTHG-chM0w9aHBSSpJHwm6lak/edit?usp=sharing"","""&amp;"รวมตะวันออกเฉียงเหนือ!J198"")+IMPORTRANGE(""https://docs.google.com/spreadsheets/d/1dCxWUCc_SKNp-qd8qsaa5pPX_-BuQqWJ_-8FnsS4Ki0/edit?usp=sharing"",""รวมกลาง!J198"")+IMPORTRANGE(""https://docs.google.com/spreadsheets/d/1uOzBKYgpuhMUe0xXQLXSct3xZ80hakAMJHdG"&amp;"Jh9616E/edit?usp=sharing"",""รวมใต้!J198"")"),0)</f>
        <v>0</v>
      </c>
      <c r="K198" s="163"/>
      <c r="L198" s="180"/>
      <c r="M198" s="180"/>
      <c r="N198" s="180"/>
      <c r="O198" s="180"/>
      <c r="P198" s="180"/>
    </row>
    <row r="199" spans="1:16" ht="21.75" customHeight="1" x14ac:dyDescent="0.3">
      <c r="A199" s="174"/>
      <c r="B199" s="175"/>
      <c r="C199" s="175"/>
      <c r="D199" s="192"/>
      <c r="E199" s="196"/>
      <c r="F199" s="194"/>
      <c r="G199" s="193" t="s">
        <v>90</v>
      </c>
      <c r="H199" s="179" t="s">
        <v>88</v>
      </c>
      <c r="I199" s="186">
        <f ca="1">IFERROR(__xludf.DUMMYFUNCTION("IMPORTRANGE(""https://docs.google.com/spreadsheets/d/1yGy89TWty5kAjAO5OL1fLLQ_DL8fVJHFf2LvMm8qymA/edit?usp=sharing"",""รวมเหนือ!I199"")+IMPORTRANGE(""https://docs.google.com/spreadsheets/d/1bWGR5Y7oTgtZIep2hLdTHG-chM0w9aHBSSpJHwm6lak/edit?usp=sharing"","""&amp;"รวมตะวันออกเฉียงเหนือ!I199"")+IMPORTRANGE(""https://docs.google.com/spreadsheets/d/1dCxWUCc_SKNp-qd8qsaa5pPX_-BuQqWJ_-8FnsS4Ki0/edit?usp=sharing"",""รวมกลาง!I199"")+IMPORTRANGE(""https://docs.google.com/spreadsheets/d/1uOzBKYgpuhMUe0xXQLXSct3xZ80hakAMJHdG"&amp;"Jh9616E/edit?usp=sharing"",""รวมใต้!I199"")"),2857800)</f>
        <v>2857800</v>
      </c>
      <c r="J199" s="187">
        <f ca="1">IFERROR(__xludf.DUMMYFUNCTION("IMPORTRANGE(""https://docs.google.com/spreadsheets/d/1yGy89TWty5kAjAO5OL1fLLQ_DL8fVJHFf2LvMm8qymA/edit?usp=sharing"",""รวมเหนือ!J199"")+IMPORTRANGE(""https://docs.google.com/spreadsheets/d/1bWGR5Y7oTgtZIep2hLdTHG-chM0w9aHBSSpJHwm6lak/edit?usp=sharing"","""&amp;"รวมตะวันออกเฉียงเหนือ!J199"")+IMPORTRANGE(""https://docs.google.com/spreadsheets/d/1dCxWUCc_SKNp-qd8qsaa5pPX_-BuQqWJ_-8FnsS4Ki0/edit?usp=sharing"",""รวมกลาง!J199"")+IMPORTRANGE(""https://docs.google.com/spreadsheets/d/1uOzBKYgpuhMUe0xXQLXSct3xZ80hakAMJHdG"&amp;"Jh9616E/edit?usp=sharing"",""รวมใต้!J199"")"),1093600)</f>
        <v>1093600</v>
      </c>
      <c r="K199" s="163">
        <f t="shared" ref="K199:K201" ca="1" si="72">IF(I199&gt;0,J199*100/I199,0)</f>
        <v>38.267198544334804</v>
      </c>
      <c r="L199" s="180"/>
      <c r="M199" s="180"/>
      <c r="N199" s="180"/>
      <c r="O199" s="180"/>
      <c r="P199" s="180"/>
    </row>
    <row r="200" spans="1:16" ht="21.75" customHeight="1" x14ac:dyDescent="0.3">
      <c r="A200" s="174"/>
      <c r="B200" s="175"/>
      <c r="C200" s="175"/>
      <c r="D200" s="192"/>
      <c r="E200" s="196"/>
      <c r="F200" s="194"/>
      <c r="G200" s="193" t="s">
        <v>91</v>
      </c>
      <c r="H200" s="179" t="s">
        <v>88</v>
      </c>
      <c r="I200" s="186">
        <f ca="1">IFERROR(__xludf.DUMMYFUNCTION("IMPORTRANGE(""https://docs.google.com/spreadsheets/d/1yGy89TWty5kAjAO5OL1fLLQ_DL8fVJHFf2LvMm8qymA/edit?usp=sharing"",""รวมเหนือ!I200"")+IMPORTRANGE(""https://docs.google.com/spreadsheets/d/1bWGR5Y7oTgtZIep2hLdTHG-chM0w9aHBSSpJHwm6lak/edit?usp=sharing"","""&amp;"รวมตะวันออกเฉียงเหนือ!I200"")+IMPORTRANGE(""https://docs.google.com/spreadsheets/d/1dCxWUCc_SKNp-qd8qsaa5pPX_-BuQqWJ_-8FnsS4Ki0/edit?usp=sharing"",""รวมกลาง!I200"")+IMPORTRANGE(""https://docs.google.com/spreadsheets/d/1uOzBKYgpuhMUe0xXQLXSct3xZ80hakAMJHdG"&amp;"Jh9616E/edit?usp=sharing"",""รวมใต้!I200"")"),2857800)</f>
        <v>2857800</v>
      </c>
      <c r="J200" s="187">
        <f ca="1">IFERROR(__xludf.DUMMYFUNCTION("IMPORTRANGE(""https://docs.google.com/spreadsheets/d/1yGy89TWty5kAjAO5OL1fLLQ_DL8fVJHFf2LvMm8qymA/edit?usp=sharing"",""รวมเหนือ!J200"")+IMPORTRANGE(""https://docs.google.com/spreadsheets/d/1bWGR5Y7oTgtZIep2hLdTHG-chM0w9aHBSSpJHwm6lak/edit?usp=sharing"","""&amp;"รวมตะวันออกเฉียงเหนือ!J200"")+IMPORTRANGE(""https://docs.google.com/spreadsheets/d/1dCxWUCc_SKNp-qd8qsaa5pPX_-BuQqWJ_-8FnsS4Ki0/edit?usp=sharing"",""รวมกลาง!J200"")+IMPORTRANGE(""https://docs.google.com/spreadsheets/d/1uOzBKYgpuhMUe0xXQLXSct3xZ80hakAMJHdG"&amp;"Jh9616E/edit?usp=sharing"",""รวมใต้!J200"")"),0)</f>
        <v>0</v>
      </c>
      <c r="K200" s="163">
        <f t="shared" ca="1" si="72"/>
        <v>0</v>
      </c>
      <c r="L200" s="165"/>
      <c r="M200" s="165"/>
      <c r="N200" s="164"/>
      <c r="O200" s="165"/>
      <c r="P200" s="165"/>
    </row>
    <row r="201" spans="1:16" ht="21.75" customHeight="1" x14ac:dyDescent="0.3">
      <c r="A201" s="174"/>
      <c r="B201" s="175"/>
      <c r="C201" s="175"/>
      <c r="D201" s="192"/>
      <c r="E201" s="196"/>
      <c r="F201" s="194" t="s">
        <v>92</v>
      </c>
      <c r="G201" s="195"/>
      <c r="H201" s="179" t="s">
        <v>37</v>
      </c>
      <c r="I201" s="186">
        <f ca="1">IFERROR(__xludf.DUMMYFUNCTION("IMPORTRANGE(""https://docs.google.com/spreadsheets/d/1yGy89TWty5kAjAO5OL1fLLQ_DL8fVJHFf2LvMm8qymA/edit?usp=sharing"",""รวมเหนือ!I201"")+IMPORTRANGE(""https://docs.google.com/spreadsheets/d/1bWGR5Y7oTgtZIep2hLdTHG-chM0w9aHBSSpJHwm6lak/edit?usp=sharing"","""&amp;"รวมตะวันออกเฉียงเหนือ!I201"")+IMPORTRANGE(""https://docs.google.com/spreadsheets/d/1dCxWUCc_SKNp-qd8qsaa5pPX_-BuQqWJ_-8FnsS4Ki0/edit?usp=sharing"",""รวมกลาง!I201"")+IMPORTRANGE(""https://docs.google.com/spreadsheets/d/1uOzBKYgpuhMUe0xXQLXSct3xZ80hakAMJHdG"&amp;"Jh9616E/edit?usp=sharing"",""รวมใต้!I201"")"),240)</f>
        <v>240</v>
      </c>
      <c r="J201" s="187">
        <f ca="1">IFERROR(__xludf.DUMMYFUNCTION("IMPORTRANGE(""https://docs.google.com/spreadsheets/d/1yGy89TWty5kAjAO5OL1fLLQ_DL8fVJHFf2LvMm8qymA/edit?usp=sharing"",""รวมเหนือ!J201"")+IMPORTRANGE(""https://docs.google.com/spreadsheets/d/1bWGR5Y7oTgtZIep2hLdTHG-chM0w9aHBSSpJHwm6lak/edit?usp=sharing"","""&amp;"รวมตะวันออกเฉียงเหนือ!J201"")+IMPORTRANGE(""https://docs.google.com/spreadsheets/d/1dCxWUCc_SKNp-qd8qsaa5pPX_-BuQqWJ_-8FnsS4Ki0/edit?usp=sharing"",""รวมกลาง!J201"")+IMPORTRANGE(""https://docs.google.com/spreadsheets/d/1uOzBKYgpuhMUe0xXQLXSct3xZ80hakAMJHdG"&amp;"Jh9616E/edit?usp=sharing"",""รวมใต้!J201"")"),240)</f>
        <v>240</v>
      </c>
      <c r="K201" s="163">
        <f t="shared" ca="1" si="72"/>
        <v>100</v>
      </c>
      <c r="L201" s="165"/>
      <c r="M201" s="165"/>
      <c r="N201" s="164"/>
      <c r="O201" s="165"/>
      <c r="P201" s="165"/>
    </row>
    <row r="202" spans="1:16" ht="21.75" customHeight="1" x14ac:dyDescent="0.3">
      <c r="A202" s="174"/>
      <c r="B202" s="175"/>
      <c r="C202" s="175"/>
      <c r="D202" s="192"/>
      <c r="E202" s="193" t="s">
        <v>51</v>
      </c>
      <c r="F202" s="194"/>
      <c r="G202" s="195"/>
      <c r="H202" s="185"/>
      <c r="I202" s="186"/>
      <c r="J202" s="186">
        <f ca="1">IFERROR(__xludf.DUMMYFUNCTION("IMPORTRANGE(""https://docs.google.com/spreadsheets/d/1yGy89TWty5kAjAO5OL1fLLQ_DL8fVJHFf2LvMm8qymA/edit?usp=sharing"",""รวมเหนือ!J202"")+IMPORTRANGE(""https://docs.google.com/spreadsheets/d/1bWGR5Y7oTgtZIep2hLdTHG-chM0w9aHBSSpJHwm6lak/edit?usp=sharing"","""&amp;"รวมตะวันออกเฉียงเหนือ!J202"")+IMPORTRANGE(""https://docs.google.com/spreadsheets/d/1dCxWUCc_SKNp-qd8qsaa5pPX_-BuQqWJ_-8FnsS4Ki0/edit?usp=sharing"",""รวมกลาง!J202"")+IMPORTRANGE(""https://docs.google.com/spreadsheets/d/1uOzBKYgpuhMUe0xXQLXSct3xZ80hakAMJHdG"&amp;"Jh9616E/edit?usp=sharing"",""รวมใต้!J202"")"),0)</f>
        <v>0</v>
      </c>
      <c r="K202" s="163"/>
      <c r="L202" s="180"/>
      <c r="M202" s="180"/>
      <c r="N202" s="180"/>
      <c r="O202" s="180"/>
      <c r="P202" s="180"/>
    </row>
    <row r="203" spans="1:16" ht="21.75" customHeight="1" x14ac:dyDescent="0.3">
      <c r="A203" s="230"/>
      <c r="B203" s="231"/>
      <c r="C203" s="231"/>
      <c r="D203" s="232">
        <v>3</v>
      </c>
      <c r="E203" s="233" t="s">
        <v>52</v>
      </c>
      <c r="F203" s="234"/>
      <c r="G203" s="235"/>
      <c r="H203" s="236"/>
      <c r="I203" s="237"/>
      <c r="J203" s="238">
        <f ca="1">IFERROR(__xludf.DUMMYFUNCTION("IMPORTRANGE(""https://docs.google.com/spreadsheets/d/1yGy89TWty5kAjAO5OL1fLLQ_DL8fVJHFf2LvMm8qymA/edit?usp=sharing"",""รวมเหนือ!J203"")+IMPORTRANGE(""https://docs.google.com/spreadsheets/d/1bWGR5Y7oTgtZIep2hLdTHG-chM0w9aHBSSpJHwm6lak/edit?usp=sharing"","""&amp;"รวมตะวันออกเฉียงเหนือ!J203"")+IMPORTRANGE(""https://docs.google.com/spreadsheets/d/1dCxWUCc_SKNp-qd8qsaa5pPX_-BuQqWJ_-8FnsS4Ki0/edit?usp=sharing"",""รวมกลาง!J203"")+IMPORTRANGE(""https://docs.google.com/spreadsheets/d/1uOzBKYgpuhMUe0xXQLXSct3xZ80hakAMJHdG"&amp;"Jh9616E/edit?usp=sharing"",""รวมใต้!J203"")"),0)</f>
        <v>0</v>
      </c>
      <c r="K203" s="286"/>
      <c r="L203" s="241"/>
      <c r="M203" s="241"/>
      <c r="N203" s="241"/>
      <c r="O203" s="241"/>
      <c r="P203" s="241"/>
    </row>
    <row r="204" spans="1:16" ht="21.75" customHeight="1" x14ac:dyDescent="0.3">
      <c r="A204" s="266"/>
      <c r="B204" s="267"/>
      <c r="C204" s="287" t="s">
        <v>93</v>
      </c>
      <c r="D204" s="268"/>
      <c r="E204" s="268"/>
      <c r="F204" s="268"/>
      <c r="G204" s="269"/>
      <c r="H204" s="285" t="s">
        <v>37</v>
      </c>
      <c r="I204" s="283">
        <f ca="1">IFERROR(__xludf.DUMMYFUNCTION("IMPORTRANGE(""https://docs.google.com/spreadsheets/d/1yGy89TWty5kAjAO5OL1fLLQ_DL8fVJHFf2LvMm8qymA/edit?usp=sharing"",""รวมเหนือ!I204"")+IMPORTRANGE(""https://docs.google.com/spreadsheets/d/1bWGR5Y7oTgtZIep2hLdTHG-chM0w9aHBSSpJHwm6lak/edit?usp=sharing"","""&amp;"รวมตะวันออกเฉียงเหนือ!I204"")+IMPORTRANGE(""https://docs.google.com/spreadsheets/d/1dCxWUCc_SKNp-qd8qsaa5pPX_-BuQqWJ_-8FnsS4Ki0/edit?usp=sharing"",""รวมกลาง!I204"")+IMPORTRANGE(""https://docs.google.com/spreadsheets/d/1uOzBKYgpuhMUe0xXQLXSct3xZ80hakAMJHdG"&amp;"Jh9616E/edit?usp=sharing"",""รวมใต้!I204"")"),960)</f>
        <v>960</v>
      </c>
      <c r="J204" s="283">
        <f ca="1">IFERROR(__xludf.DUMMYFUNCTION("IMPORTRANGE(""https://docs.google.com/spreadsheets/d/1yGy89TWty5kAjAO5OL1fLLQ_DL8fVJHFf2LvMm8qymA/edit?usp=sharing"",""รวมเหนือ!J204"")+IMPORTRANGE(""https://docs.google.com/spreadsheets/d/1bWGR5Y7oTgtZIep2hLdTHG-chM0w9aHBSSpJHwm6lak/edit?usp=sharing"","""&amp;"รวมตะวันออกเฉียงเหนือ!J204"")+IMPORTRANGE(""https://docs.google.com/spreadsheets/d/1dCxWUCc_SKNp-qd8qsaa5pPX_-BuQqWJ_-8FnsS4Ki0/edit?usp=sharing"",""รวมกลาง!J204"")+IMPORTRANGE(""https://docs.google.com/spreadsheets/d/1uOzBKYgpuhMUe0xXQLXSct3xZ80hakAMJHdG"&amp;"Jh9616E/edit?usp=sharing"",""รวมใต้!J204"")"),932)</f>
        <v>932</v>
      </c>
      <c r="K204" s="284">
        <f ca="1">IF(I204&gt;0,J204*100/I204,0)</f>
        <v>97.083333333333329</v>
      </c>
      <c r="L204" s="273"/>
      <c r="M204" s="273"/>
      <c r="N204" s="273"/>
      <c r="O204" s="273"/>
      <c r="P204" s="273"/>
    </row>
    <row r="205" spans="1:16" ht="21.75" hidden="1" customHeight="1" x14ac:dyDescent="0.3">
      <c r="A205" s="158"/>
      <c r="B205" s="159"/>
      <c r="C205" s="159" t="s">
        <v>16</v>
      </c>
      <c r="D205" s="274" t="s">
        <v>75</v>
      </c>
      <c r="E205" s="167"/>
      <c r="F205" s="167"/>
      <c r="G205" s="160" t="s">
        <v>38</v>
      </c>
      <c r="H205" s="168" t="s">
        <v>12</v>
      </c>
      <c r="I205" s="162" t="s">
        <v>39</v>
      </c>
      <c r="J205" s="162"/>
      <c r="K205" s="163"/>
      <c r="L205" s="275"/>
      <c r="M205" s="275"/>
      <c r="N205" s="276"/>
      <c r="O205" s="276"/>
      <c r="P205" s="276"/>
    </row>
    <row r="206" spans="1:16" ht="21.75" hidden="1" customHeight="1" x14ac:dyDescent="0.3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8" t="s">
        <v>12</v>
      </c>
      <c r="I206" s="162"/>
      <c r="J206" s="162"/>
      <c r="K206" s="163"/>
      <c r="L206" s="276"/>
      <c r="M206" s="276"/>
      <c r="N206" s="276"/>
      <c r="O206" s="276"/>
      <c r="P206" s="276"/>
    </row>
    <row r="207" spans="1:16" ht="21.75" hidden="1" customHeight="1" x14ac:dyDescent="0.3">
      <c r="A207" s="158"/>
      <c r="B207" s="159"/>
      <c r="C207" s="159"/>
      <c r="D207" s="166"/>
      <c r="E207" s="167"/>
      <c r="F207" s="167"/>
      <c r="G207" s="277" t="s">
        <v>76</v>
      </c>
      <c r="H207" s="168" t="s">
        <v>12</v>
      </c>
      <c r="I207" s="162"/>
      <c r="J207" s="186"/>
      <c r="K207" s="221"/>
      <c r="L207" s="165"/>
      <c r="M207" s="165"/>
      <c r="N207" s="164"/>
      <c r="O207" s="165"/>
      <c r="P207" s="165"/>
    </row>
    <row r="208" spans="1:16" ht="21.75" customHeight="1" x14ac:dyDescent="0.3">
      <c r="A208" s="174"/>
      <c r="B208" s="175"/>
      <c r="C208" s="159" t="s">
        <v>16</v>
      </c>
      <c r="D208" s="176" t="s">
        <v>41</v>
      </c>
      <c r="E208" s="177"/>
      <c r="F208" s="177"/>
      <c r="G208" s="178"/>
      <c r="H208" s="179"/>
      <c r="I208" s="162"/>
      <c r="J208" s="186"/>
      <c r="K208" s="221"/>
      <c r="L208" s="165"/>
      <c r="M208" s="165"/>
      <c r="N208" s="165"/>
      <c r="O208" s="180"/>
      <c r="P208" s="180"/>
    </row>
    <row r="209" spans="1:16" ht="21.75" customHeight="1" x14ac:dyDescent="0.3">
      <c r="A209" s="174"/>
      <c r="B209" s="175"/>
      <c r="C209" s="175"/>
      <c r="D209" s="181">
        <v>1</v>
      </c>
      <c r="E209" s="182" t="s">
        <v>42</v>
      </c>
      <c r="F209" s="183"/>
      <c r="G209" s="184"/>
      <c r="H209" s="185"/>
      <c r="I209" s="186"/>
      <c r="J209" s="186">
        <f ca="1">IFERROR(__xludf.DUMMYFUNCTION("IMPORTRANGE(""https://docs.google.com/spreadsheets/d/1yGy89TWty5kAjAO5OL1fLLQ_DL8fVJHFf2LvMm8qymA/edit?usp=sharing"",""รวมเหนือ!J209"")+IMPORTRANGE(""https://docs.google.com/spreadsheets/d/1bWGR5Y7oTgtZIep2hLdTHG-chM0w9aHBSSpJHwm6lak/edit?usp=sharing"","""&amp;"รวมตะวันออกเฉียงเหนือ!J209"")+IMPORTRANGE(""https://docs.google.com/spreadsheets/d/1dCxWUCc_SKNp-qd8qsaa5pPX_-BuQqWJ_-8FnsS4Ki0/edit?usp=sharing"",""รวมกลาง!J209"")+IMPORTRANGE(""https://docs.google.com/spreadsheets/d/1uOzBKYgpuhMUe0xXQLXSct3xZ80hakAMJHdG"&amp;"Jh9616E/edit?usp=sharing"",""รวมใต้!J209"")"),0)</f>
        <v>0</v>
      </c>
      <c r="K209" s="221"/>
      <c r="L209" s="165"/>
      <c r="M209" s="165"/>
      <c r="N209" s="165"/>
      <c r="O209" s="180"/>
      <c r="P209" s="180"/>
    </row>
    <row r="210" spans="1:16" ht="21.75" customHeight="1" x14ac:dyDescent="0.3">
      <c r="A210" s="174"/>
      <c r="B210" s="175"/>
      <c r="C210" s="175"/>
      <c r="D210" s="188">
        <v>2</v>
      </c>
      <c r="E210" s="189" t="s">
        <v>43</v>
      </c>
      <c r="F210" s="190"/>
      <c r="G210" s="191"/>
      <c r="H210" s="185"/>
      <c r="I210" s="186"/>
      <c r="J210" s="186">
        <f ca="1">IFERROR(__xludf.DUMMYFUNCTION("IMPORTRANGE(""https://docs.google.com/spreadsheets/d/1yGy89TWty5kAjAO5OL1fLLQ_DL8fVJHFf2LvMm8qymA/edit?usp=sharing"",""รวมเหนือ!J210"")+IMPORTRANGE(""https://docs.google.com/spreadsheets/d/1bWGR5Y7oTgtZIep2hLdTHG-chM0w9aHBSSpJHwm6lak/edit?usp=sharing"","""&amp;"รวมตะวันออกเฉียงเหนือ!J210"")+IMPORTRANGE(""https://docs.google.com/spreadsheets/d/1dCxWUCc_SKNp-qd8qsaa5pPX_-BuQqWJ_-8FnsS4Ki0/edit?usp=sharing"",""รวมกลาง!J210"")+IMPORTRANGE(""https://docs.google.com/spreadsheets/d/1uOzBKYgpuhMUe0xXQLXSct3xZ80hakAMJHdG"&amp;"Jh9616E/edit?usp=sharing"",""รวมใต้!J210"")"),18)</f>
        <v>18</v>
      </c>
      <c r="K210" s="221"/>
      <c r="L210" s="165"/>
      <c r="M210" s="165"/>
      <c r="N210" s="165"/>
      <c r="O210" s="180"/>
      <c r="P210" s="180"/>
    </row>
    <row r="211" spans="1:16" ht="21.75" customHeight="1" x14ac:dyDescent="0.3">
      <c r="A211" s="174"/>
      <c r="B211" s="175"/>
      <c r="C211" s="175"/>
      <c r="D211" s="192"/>
      <c r="E211" s="193" t="s">
        <v>44</v>
      </c>
      <c r="F211" s="194"/>
      <c r="G211" s="195"/>
      <c r="H211" s="185"/>
      <c r="I211" s="186"/>
      <c r="J211" s="186">
        <f ca="1">IFERROR(__xludf.DUMMYFUNCTION("IMPORTRANGE(""https://docs.google.com/spreadsheets/d/1yGy89TWty5kAjAO5OL1fLLQ_DL8fVJHFf2LvMm8qymA/edit?usp=sharing"",""รวมเหนือ!J211"")+IMPORTRANGE(""https://docs.google.com/spreadsheets/d/1bWGR5Y7oTgtZIep2hLdTHG-chM0w9aHBSSpJHwm6lak/edit?usp=sharing"","""&amp;"รวมตะวันออกเฉียงเหนือ!J211"")+IMPORTRANGE(""https://docs.google.com/spreadsheets/d/1dCxWUCc_SKNp-qd8qsaa5pPX_-BuQqWJ_-8FnsS4Ki0/edit?usp=sharing"",""รวมกลาง!J211"")+IMPORTRANGE(""https://docs.google.com/spreadsheets/d/1uOzBKYgpuhMUe0xXQLXSct3xZ80hakAMJHdG"&amp;"Jh9616E/edit?usp=sharing"",""รวมใต้!J211"")"),17)</f>
        <v>17</v>
      </c>
      <c r="K211" s="221"/>
      <c r="L211" s="165"/>
      <c r="M211" s="165"/>
      <c r="N211" s="165"/>
      <c r="O211" s="180"/>
      <c r="P211" s="180"/>
    </row>
    <row r="212" spans="1:16" ht="21.75" customHeight="1" x14ac:dyDescent="0.3">
      <c r="A212" s="174"/>
      <c r="B212" s="175"/>
      <c r="C212" s="175"/>
      <c r="D212" s="192"/>
      <c r="E212" s="193" t="s">
        <v>45</v>
      </c>
      <c r="F212" s="194"/>
      <c r="G212" s="195"/>
      <c r="H212" s="185"/>
      <c r="I212" s="186"/>
      <c r="J212" s="186">
        <f ca="1">IFERROR(__xludf.DUMMYFUNCTION("IMPORTRANGE(""https://docs.google.com/spreadsheets/d/1yGy89TWty5kAjAO5OL1fLLQ_DL8fVJHFf2LvMm8qymA/edit?usp=sharing"",""รวมเหนือ!J212"")+IMPORTRANGE(""https://docs.google.com/spreadsheets/d/1bWGR5Y7oTgtZIep2hLdTHG-chM0w9aHBSSpJHwm6lak/edit?usp=sharing"","""&amp;"รวมตะวันออกเฉียงเหนือ!J212"")+IMPORTRANGE(""https://docs.google.com/spreadsheets/d/1dCxWUCc_SKNp-qd8qsaa5pPX_-BuQqWJ_-8FnsS4Ki0/edit?usp=sharing"",""รวมกลาง!J212"")+IMPORTRANGE(""https://docs.google.com/spreadsheets/d/1uOzBKYgpuhMUe0xXQLXSct3xZ80hakAMJHdG"&amp;"Jh9616E/edit?usp=sharing"",""รวมใต้!J212"")"),16)</f>
        <v>16</v>
      </c>
      <c r="K212" s="221"/>
      <c r="L212" s="165"/>
      <c r="M212" s="165"/>
      <c r="N212" s="165"/>
      <c r="O212" s="180"/>
      <c r="P212" s="180"/>
    </row>
    <row r="213" spans="1:16" ht="21.75" customHeight="1" x14ac:dyDescent="0.3">
      <c r="A213" s="174"/>
      <c r="B213" s="175"/>
      <c r="C213" s="175"/>
      <c r="D213" s="192"/>
      <c r="E213" s="196"/>
      <c r="F213" s="194" t="s">
        <v>94</v>
      </c>
      <c r="G213" s="195"/>
      <c r="H213" s="179" t="s">
        <v>37</v>
      </c>
      <c r="I213" s="186">
        <f ca="1">IFERROR(__xludf.DUMMYFUNCTION("IMPORTRANGE(""https://docs.google.com/spreadsheets/d/1yGy89TWty5kAjAO5OL1fLLQ_DL8fVJHFf2LvMm8qymA/edit?usp=sharing"",""รวมเหนือ!I213"")+IMPORTRANGE(""https://docs.google.com/spreadsheets/d/1bWGR5Y7oTgtZIep2hLdTHG-chM0w9aHBSSpJHwm6lak/edit?usp=sharing"","""&amp;"รวมตะวันออกเฉียงเหนือ!I213"")+IMPORTRANGE(""https://docs.google.com/spreadsheets/d/1dCxWUCc_SKNp-qd8qsaa5pPX_-BuQqWJ_-8FnsS4Ki0/edit?usp=sharing"",""รวมกลาง!I213"")+IMPORTRANGE(""https://docs.google.com/spreadsheets/d/1uOzBKYgpuhMUe0xXQLXSct3xZ80hakAMJHdG"&amp;"Jh9616E/edit?usp=sharing"",""รวมใต้!I213"")"),960)</f>
        <v>960</v>
      </c>
      <c r="J213" s="187">
        <f ca="1">IFERROR(__xludf.DUMMYFUNCTION("IMPORTRANGE(""https://docs.google.com/spreadsheets/d/1yGy89TWty5kAjAO5OL1fLLQ_DL8fVJHFf2LvMm8qymA/edit?usp=sharing"",""รวมเหนือ!J213"")+IMPORTRANGE(""https://docs.google.com/spreadsheets/d/1bWGR5Y7oTgtZIep2hLdTHG-chM0w9aHBSSpJHwm6lak/edit?usp=sharing"","""&amp;"รวมตะวันออกเฉียงเหนือ!J213"")+IMPORTRANGE(""https://docs.google.com/spreadsheets/d/1dCxWUCc_SKNp-qd8qsaa5pPX_-BuQqWJ_-8FnsS4Ki0/edit?usp=sharing"",""รวมกลาง!J213"")+IMPORTRANGE(""https://docs.google.com/spreadsheets/d/1uOzBKYgpuhMUe0xXQLXSct3xZ80hakAMJHdG"&amp;"Jh9616E/edit?usp=sharing"",""รวมใต้!J213"")"),932)</f>
        <v>932</v>
      </c>
      <c r="K213" s="221">
        <f ca="1">IF(I213&gt;0,J213*100/I213,0)</f>
        <v>97.083333333333329</v>
      </c>
      <c r="L213" s="165"/>
      <c r="M213" s="165"/>
      <c r="N213" s="164"/>
      <c r="O213" s="165"/>
      <c r="P213" s="165"/>
    </row>
    <row r="214" spans="1:16" ht="21.75" customHeight="1" x14ac:dyDescent="0.3">
      <c r="A214" s="174"/>
      <c r="B214" s="175"/>
      <c r="C214" s="175"/>
      <c r="D214" s="192"/>
      <c r="E214" s="196"/>
      <c r="F214" s="193" t="s">
        <v>50</v>
      </c>
      <c r="G214" s="195"/>
      <c r="H214" s="179"/>
      <c r="I214" s="186">
        <f ca="1">IFERROR(__xludf.DUMMYFUNCTION("IMPORTRANGE(""https://docs.google.com/spreadsheets/d/1yGy89TWty5kAjAO5OL1fLLQ_DL8fVJHFf2LvMm8qymA/edit?usp=sharing"",""รวมเหนือ!I214"")+IMPORTRANGE(""https://docs.google.com/spreadsheets/d/1bWGR5Y7oTgtZIep2hLdTHG-chM0w9aHBSSpJHwm6lak/edit?usp=sharing"","""&amp;"รวมตะวันออกเฉียงเหนือ!I214"")+IMPORTRANGE(""https://docs.google.com/spreadsheets/d/1dCxWUCc_SKNp-qd8qsaa5pPX_-BuQqWJ_-8FnsS4Ki0/edit?usp=sharing"",""รวมกลาง!I214"")+IMPORTRANGE(""https://docs.google.com/spreadsheets/d/1uOzBKYgpuhMUe0xXQLXSct3xZ80hakAMJHdG"&amp;"Jh9616E/edit?usp=sharing"",""รวมใต้!I214"")"),0)</f>
        <v>0</v>
      </c>
      <c r="J214" s="186">
        <f ca="1">IFERROR(__xludf.DUMMYFUNCTION("IMPORTRANGE(""https://docs.google.com/spreadsheets/d/1yGy89TWty5kAjAO5OL1fLLQ_DL8fVJHFf2LvMm8qymA/edit?usp=sharing"",""รวมเหนือ!J214"")+IMPORTRANGE(""https://docs.google.com/spreadsheets/d/1bWGR5Y7oTgtZIep2hLdTHG-chM0w9aHBSSpJHwm6lak/edit?usp=sharing"","""&amp;"รวมตะวันออกเฉียงเหนือ!J214"")+IMPORTRANGE(""https://docs.google.com/spreadsheets/d/1dCxWUCc_SKNp-qd8qsaa5pPX_-BuQqWJ_-8FnsS4Ki0/edit?usp=sharing"",""รวมกลาง!J214"")+IMPORTRANGE(""https://docs.google.com/spreadsheets/d/1uOzBKYgpuhMUe0xXQLXSct3xZ80hakAMJHdG"&amp;"Jh9616E/edit?usp=sharing"",""รวมใต้!J214"")"),0)</f>
        <v>0</v>
      </c>
      <c r="K214" s="221"/>
      <c r="L214" s="165"/>
      <c r="M214" s="165"/>
      <c r="N214" s="165"/>
      <c r="O214" s="180"/>
      <c r="P214" s="180"/>
    </row>
    <row r="215" spans="1:16" ht="21.75" customHeight="1" x14ac:dyDescent="0.3">
      <c r="A215" s="174"/>
      <c r="B215" s="175"/>
      <c r="C215" s="175"/>
      <c r="D215" s="192"/>
      <c r="E215" s="196"/>
      <c r="F215" s="194"/>
      <c r="G215" s="288" t="s">
        <v>95</v>
      </c>
      <c r="H215" s="179" t="s">
        <v>37</v>
      </c>
      <c r="I215" s="186">
        <f ca="1">IFERROR(__xludf.DUMMYFUNCTION("IMPORTRANGE(""https://docs.google.com/spreadsheets/d/1yGy89TWty5kAjAO5OL1fLLQ_DL8fVJHFf2LvMm8qymA/edit?usp=sharing"",""รวมเหนือ!I215"")+IMPORTRANGE(""https://docs.google.com/spreadsheets/d/1bWGR5Y7oTgtZIep2hLdTHG-chM0w9aHBSSpJHwm6lak/edit?usp=sharing"","""&amp;"รวมตะวันออกเฉียงเหนือ!I215"")+IMPORTRANGE(""https://docs.google.com/spreadsheets/d/1dCxWUCc_SKNp-qd8qsaa5pPX_-BuQqWJ_-8FnsS4Ki0/edit?usp=sharing"",""รวมกลาง!I215"")+IMPORTRANGE(""https://docs.google.com/spreadsheets/d/1uOzBKYgpuhMUe0xXQLXSct3xZ80hakAMJHdG"&amp;"Jh9616E/edit?usp=sharing"",""รวมใต้!I215"")"),300)</f>
        <v>300</v>
      </c>
      <c r="J215" s="187">
        <f ca="1">IFERROR(__xludf.DUMMYFUNCTION("IMPORTRANGE(""https://docs.google.com/spreadsheets/d/1yGy89TWty5kAjAO5OL1fLLQ_DL8fVJHFf2LvMm8qymA/edit?usp=sharing"",""รวมเหนือ!J215"")+IMPORTRANGE(""https://docs.google.com/spreadsheets/d/1bWGR5Y7oTgtZIep2hLdTHG-chM0w9aHBSSpJHwm6lak/edit?usp=sharing"","""&amp;"รวมตะวันออกเฉียงเหนือ!J215"")+IMPORTRANGE(""https://docs.google.com/spreadsheets/d/1dCxWUCc_SKNp-qd8qsaa5pPX_-BuQqWJ_-8FnsS4Ki0/edit?usp=sharing"",""รวมกลาง!J215"")+IMPORTRANGE(""https://docs.google.com/spreadsheets/d/1uOzBKYgpuhMUe0xXQLXSct3xZ80hakAMJHdG"&amp;"Jh9616E/edit?usp=sharing"",""รวมใต้!J215"")"),0)</f>
        <v>0</v>
      </c>
      <c r="K215" s="221">
        <f t="shared" ref="K215:K216" ca="1" si="73">IF(I215&gt;0,J215*100/I215,0)</f>
        <v>0</v>
      </c>
      <c r="L215" s="165"/>
      <c r="M215" s="165"/>
      <c r="N215" s="164"/>
      <c r="O215" s="165"/>
      <c r="P215" s="165"/>
    </row>
    <row r="216" spans="1:16" ht="21.75" customHeight="1" x14ac:dyDescent="0.3">
      <c r="A216" s="174"/>
      <c r="B216" s="175"/>
      <c r="C216" s="175"/>
      <c r="D216" s="192"/>
      <c r="E216" s="196"/>
      <c r="F216" s="194"/>
      <c r="G216" s="288" t="s">
        <v>96</v>
      </c>
      <c r="H216" s="179" t="s">
        <v>56</v>
      </c>
      <c r="I216" s="186">
        <f ca="1">IFERROR(__xludf.DUMMYFUNCTION("IMPORTRANGE(""https://docs.google.com/spreadsheets/d/1yGy89TWty5kAjAO5OL1fLLQ_DL8fVJHFf2LvMm8qymA/edit?usp=sharing"",""รวมเหนือ!I216"")+IMPORTRANGE(""https://docs.google.com/spreadsheets/d/1bWGR5Y7oTgtZIep2hLdTHG-chM0w9aHBSSpJHwm6lak/edit?usp=sharing"","""&amp;"รวมตะวันออกเฉียงเหนือ!I216"")+IMPORTRANGE(""https://docs.google.com/spreadsheets/d/1dCxWUCc_SKNp-qd8qsaa5pPX_-BuQqWJ_-8FnsS4Ki0/edit?usp=sharing"",""รวมกลาง!I216"")+IMPORTRANGE(""https://docs.google.com/spreadsheets/d/1uOzBKYgpuhMUe0xXQLXSct3xZ80hakAMJHdG"&amp;"Jh9616E/edit?usp=sharing"",""รวมใต้!I216"")"),44)</f>
        <v>44</v>
      </c>
      <c r="J216" s="187">
        <f ca="1">IFERROR(__xludf.DUMMYFUNCTION("IMPORTRANGE(""https://docs.google.com/spreadsheets/d/1yGy89TWty5kAjAO5OL1fLLQ_DL8fVJHFf2LvMm8qymA/edit?usp=sharing"",""รวมเหนือ!J216"")+IMPORTRANGE(""https://docs.google.com/spreadsheets/d/1bWGR5Y7oTgtZIep2hLdTHG-chM0w9aHBSSpJHwm6lak/edit?usp=sharing"","""&amp;"รวมตะวันออกเฉียงเหนือ!J216"")+IMPORTRANGE(""https://docs.google.com/spreadsheets/d/1dCxWUCc_SKNp-qd8qsaa5pPX_-BuQqWJ_-8FnsS4Ki0/edit?usp=sharing"",""รวมกลาง!J216"")+IMPORTRANGE(""https://docs.google.com/spreadsheets/d/1uOzBKYgpuhMUe0xXQLXSct3xZ80hakAMJHdG"&amp;"Jh9616E/edit?usp=sharing"",""รวมใต้!J216"")"),0)</f>
        <v>0</v>
      </c>
      <c r="K216" s="221">
        <f t="shared" ca="1" si="73"/>
        <v>0</v>
      </c>
      <c r="L216" s="165"/>
      <c r="M216" s="165"/>
      <c r="N216" s="164"/>
      <c r="O216" s="165"/>
      <c r="P216" s="165"/>
    </row>
    <row r="217" spans="1:16" ht="21.75" customHeight="1" x14ac:dyDescent="0.3">
      <c r="A217" s="174"/>
      <c r="B217" s="175"/>
      <c r="C217" s="175"/>
      <c r="D217" s="192"/>
      <c r="E217" s="193" t="s">
        <v>51</v>
      </c>
      <c r="F217" s="194"/>
      <c r="G217" s="195"/>
      <c r="H217" s="185"/>
      <c r="I217" s="186"/>
      <c r="J217" s="186">
        <f ca="1">IFERROR(__xludf.DUMMYFUNCTION("IMPORTRANGE(""https://docs.google.com/spreadsheets/d/1yGy89TWty5kAjAO5OL1fLLQ_DL8fVJHFf2LvMm8qymA/edit?usp=sharing"",""รวมเหนือ!J217"")+IMPORTRANGE(""https://docs.google.com/spreadsheets/d/1bWGR5Y7oTgtZIep2hLdTHG-chM0w9aHBSSpJHwm6lak/edit?usp=sharing"","""&amp;"รวมตะวันออกเฉียงเหนือ!J217"")+IMPORTRANGE(""https://docs.google.com/spreadsheets/d/1dCxWUCc_SKNp-qd8qsaa5pPX_-BuQqWJ_-8FnsS4Ki0/edit?usp=sharing"",""รวมกลาง!J217"")+IMPORTRANGE(""https://docs.google.com/spreadsheets/d/1uOzBKYgpuhMUe0xXQLXSct3xZ80hakAMJHdG"&amp;"Jh9616E/edit?usp=sharing"",""รวมใต้!J217"")"),0)</f>
        <v>0</v>
      </c>
      <c r="K217" s="221"/>
      <c r="L217" s="165"/>
      <c r="M217" s="165"/>
      <c r="N217" s="165"/>
      <c r="O217" s="180"/>
      <c r="P217" s="180"/>
    </row>
    <row r="218" spans="1:16" ht="21.75" customHeight="1" x14ac:dyDescent="0.3">
      <c r="A218" s="230"/>
      <c r="B218" s="231"/>
      <c r="C218" s="231"/>
      <c r="D218" s="232">
        <v>3</v>
      </c>
      <c r="E218" s="233" t="s">
        <v>52</v>
      </c>
      <c r="F218" s="234"/>
      <c r="G218" s="235"/>
      <c r="H218" s="236"/>
      <c r="I218" s="237"/>
      <c r="J218" s="238">
        <f ca="1">IFERROR(__xludf.DUMMYFUNCTION("IMPORTRANGE(""https://docs.google.com/spreadsheets/d/1yGy89TWty5kAjAO5OL1fLLQ_DL8fVJHFf2LvMm8qymA/edit?usp=sharing"",""รวมเหนือ!J218"")+IMPORTRANGE(""https://docs.google.com/spreadsheets/d/1bWGR5Y7oTgtZIep2hLdTHG-chM0w9aHBSSpJHwm6lak/edit?usp=sharing"","""&amp;"รวมตะวันออกเฉียงเหนือ!J218"")+IMPORTRANGE(""https://docs.google.com/spreadsheets/d/1dCxWUCc_SKNp-qd8qsaa5pPX_-BuQqWJ_-8FnsS4Ki0/edit?usp=sharing"",""รวมกลาง!J218"")+IMPORTRANGE(""https://docs.google.com/spreadsheets/d/1uOzBKYgpuhMUe0xXQLXSct3xZ80hakAMJHdG"&amp;"Jh9616E/edit?usp=sharing"",""รวมใต้!J218"")"),0)</f>
        <v>0</v>
      </c>
      <c r="K218" s="239"/>
      <c r="L218" s="240"/>
      <c r="M218" s="240"/>
      <c r="N218" s="240"/>
      <c r="O218" s="241"/>
      <c r="P218" s="241"/>
    </row>
    <row r="219" spans="1:16" ht="21.75" customHeight="1" x14ac:dyDescent="0.3">
      <c r="A219" s="258"/>
      <c r="B219" s="259" t="s">
        <v>97</v>
      </c>
      <c r="C219" s="260"/>
      <c r="D219" s="259"/>
      <c r="E219" s="259"/>
      <c r="F219" s="259"/>
      <c r="G219" s="261"/>
      <c r="H219" s="262" t="s">
        <v>37</v>
      </c>
      <c r="I219" s="289">
        <v>1000</v>
      </c>
      <c r="J219" s="263">
        <f ca="1">J229+J238</f>
        <v>992</v>
      </c>
      <c r="K219" s="264">
        <f ca="1">IF(I219&gt;0,J219*100/I219,0)</f>
        <v>99.2</v>
      </c>
      <c r="L219" s="265"/>
      <c r="M219" s="265"/>
      <c r="N219" s="265"/>
      <c r="O219" s="264"/>
      <c r="P219" s="264"/>
    </row>
    <row r="220" spans="1:16" ht="21.75" customHeight="1" x14ac:dyDescent="0.4">
      <c r="A220" s="146"/>
      <c r="B220" s="147"/>
      <c r="C220" s="148" t="s">
        <v>16</v>
      </c>
      <c r="D220" s="533" t="s">
        <v>17</v>
      </c>
      <c r="E220" s="534"/>
      <c r="F220" s="534"/>
      <c r="G220" s="534"/>
      <c r="H220" s="149" t="s">
        <v>12</v>
      </c>
      <c r="I220" s="162"/>
      <c r="J220" s="162"/>
      <c r="K220" s="163"/>
      <c r="L220" s="152">
        <f t="shared" ref="L220:N220" ca="1" si="74">L221+L222</f>
        <v>60867500</v>
      </c>
      <c r="M220" s="152">
        <f t="shared" ca="1" si="74"/>
        <v>52508700</v>
      </c>
      <c r="N220" s="152">
        <f t="shared" ca="1" si="74"/>
        <v>36929625.509999998</v>
      </c>
      <c r="O220" s="151">
        <f t="shared" ref="O220:O222" ca="1" si="75">IF(L220&gt;0,N220*100/L220,0)</f>
        <v>60.672157571774754</v>
      </c>
      <c r="P220" s="151">
        <f t="shared" ref="P220:P224" ca="1" si="76">IF(M220&gt;0,N220*100/M220,0)</f>
        <v>70.330489061812614</v>
      </c>
    </row>
    <row r="221" spans="1:16" ht="21.75" customHeight="1" x14ac:dyDescent="0.4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ca="1" si="77">L223+L227</f>
        <v>59497875</v>
      </c>
      <c r="M221" s="157">
        <f t="shared" ca="1" si="77"/>
        <v>51139075</v>
      </c>
      <c r="N221" s="157">
        <f t="shared" ca="1" si="77"/>
        <v>35612788.909999996</v>
      </c>
      <c r="O221" s="156">
        <f t="shared" ca="1" si="75"/>
        <v>59.855564438225727</v>
      </c>
      <c r="P221" s="156">
        <f t="shared" ca="1" si="76"/>
        <v>69.639094782218876</v>
      </c>
    </row>
    <row r="222" spans="1:16" ht="21.75" customHeight="1" x14ac:dyDescent="0.4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8">L224+L228</f>
        <v>1369625</v>
      </c>
      <c r="M222" s="157">
        <f t="shared" ca="1" si="78"/>
        <v>1369625</v>
      </c>
      <c r="N222" s="157">
        <f t="shared" ca="1" si="78"/>
        <v>1316836.6000000001</v>
      </c>
      <c r="O222" s="156">
        <f t="shared" ca="1" si="75"/>
        <v>96.145777128776132</v>
      </c>
      <c r="P222" s="156">
        <f t="shared" ca="1" si="76"/>
        <v>96.145777128776132</v>
      </c>
    </row>
    <row r="223" spans="1:16" ht="21.75" customHeight="1" x14ac:dyDescent="0.4">
      <c r="A223" s="158"/>
      <c r="B223" s="159"/>
      <c r="C223" s="159" t="s">
        <v>16</v>
      </c>
      <c r="D223" s="535" t="s">
        <v>20</v>
      </c>
      <c r="E223" s="532"/>
      <c r="F223" s="532"/>
      <c r="G223" s="160" t="s">
        <v>38</v>
      </c>
      <c r="H223" s="168" t="s">
        <v>12</v>
      </c>
      <c r="I223" s="162" t="s">
        <v>39</v>
      </c>
      <c r="J223" s="162"/>
      <c r="K223" s="163"/>
      <c r="L223" s="164">
        <f ca="1">IFERROR(__xludf.DUMMYFUNCTION("IMPORTRANGE(""https://docs.google.com/spreadsheets/d/1Yj_ptqi66GCucihVvJfMjLAmec39IyEx_6qawtMGysU/edit?usp=sharing"",""สบก!BN15"")"),28414175)</f>
        <v>28414175</v>
      </c>
      <c r="M223" s="164">
        <f ca="1">IFERROR(__xludf.DUMMYFUNCTION("IMPORTRANGE(""https://docs.google.com/spreadsheets/d/1Yj_ptqi66GCucihVvJfMjLAmec39IyEx_6qawtMGysU/edit?usp=sharing"",""สบก!BS15"")"),20055375)</f>
        <v>20055375</v>
      </c>
      <c r="N223" s="164">
        <f ca="1">IFERROR(__xludf.DUMMYFUNCTION("IMPORTRANGE(""https://docs.google.com/spreadsheets/d/1Yj_ptqi66GCucihVvJfMjLAmec39IyEx_6qawtMGysU/edit?usp=sharing"",""สบก!BT15"")"),5817088.91)</f>
        <v>5817088.9100000001</v>
      </c>
      <c r="O223" s="165">
        <f ca="1">+IF(L223&gt;0,N223*100/L223,0)</f>
        <v>20.472489206531598</v>
      </c>
      <c r="P223" s="165">
        <f t="shared" ca="1" si="76"/>
        <v>29.005136578099389</v>
      </c>
    </row>
    <row r="224" spans="1:16" ht="21.75" customHeight="1" x14ac:dyDescent="0.3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8" t="s">
        <v>12</v>
      </c>
      <c r="I224" s="162"/>
      <c r="J224" s="162"/>
      <c r="K224" s="163"/>
      <c r="L224" s="164">
        <f ca="1">IFERROR(__xludf.DUMMYFUNCTION("IMPORTRANGE(""https://docs.google.com/spreadsheets/d/1yGy89TWty5kAjAO5OL1fLLQ_DL8fVJHFf2LvMm8qymA/edit?usp=sharing"",""รวมเหนือ!L224"")+IMPORTRANGE(""https://docs.google.com/spreadsheets/d/1bWGR5Y7oTgtZIep2hLdTHG-chM0w9aHBSSpJHwm6lak/edit?usp=sharing"","""&amp;"รวมตะวันออกเฉียงเหนือ!L224"")+IMPORTRANGE(""https://docs.google.com/spreadsheets/d/1dCxWUCc_SKNp-qd8qsaa5pPX_-BuQqWJ_-8FnsS4Ki0/edit?usp=sharing"",""รวมกลาง!L224"")+IMPORTRANGE(""https://docs.google.com/spreadsheets/d/1uOzBKYgpuhMUe0xXQLXSct3xZ80hakAMJHdG"&amp;"Jh9616E/edit?usp=sharing"",""รวมใต้!L224"")"),1369625)</f>
        <v>1369625</v>
      </c>
      <c r="M224" s="164">
        <f ca="1">IFERROR(__xludf.DUMMYFUNCTION("IMPORTRANGE(""https://docs.google.com/spreadsheets/d/1yGy89TWty5kAjAO5OL1fLLQ_DL8fVJHFf2LvMm8qymA/edit?usp=sharing"",""รวมเหนือ!M224"")+IMPORTRANGE(""https://docs.google.com/spreadsheets/d/1bWGR5Y7oTgtZIep2hLdTHG-chM0w9aHBSSpJHwm6lak/edit?usp=sharing"","""&amp;"รวมตะวันออกเฉียงเหนือ!M224"")+IMPORTRANGE(""https://docs.google.com/spreadsheets/d/1dCxWUCc_SKNp-qd8qsaa5pPX_-BuQqWJ_-8FnsS4Ki0/edit?usp=sharing"",""รวมกลาง!M224"")+IMPORTRANGE(""https://docs.google.com/spreadsheets/d/1uOzBKYgpuhMUe0xXQLXSct3xZ80hakAMJHdG"&amp;"Jh9616E/edit?usp=sharing"",""รวมใต้!M224"")"),1369625)</f>
        <v>1369625</v>
      </c>
      <c r="N224" s="165">
        <f ca="1">IFERROR(__xludf.DUMMYFUNCTION("IMPORTRANGE(""https://docs.google.com/spreadsheets/d/1yGy89TWty5kAjAO5OL1fLLQ_DL8fVJHFf2LvMm8qymA/edit?usp=sharing"",""รวมเหนือ!N224"")+IMPORTRANGE(""https://docs.google.com/spreadsheets/d/1bWGR5Y7oTgtZIep2hLdTHG-chM0w9aHBSSpJHwm6lak/edit?usp=sharing"","""&amp;"รวมตะวันออกเฉียงเหนือ!N224"")+IMPORTRANGE(""https://docs.google.com/spreadsheets/d/1dCxWUCc_SKNp-qd8qsaa5pPX_-BuQqWJ_-8FnsS4Ki0/edit?usp=sharing"",""รวมกลาง!N224"")+IMPORTRANGE(""https://docs.google.com/spreadsheets/d/1uOzBKYgpuhMUe0xXQLXSct3xZ80hakAMJHdG"&amp;"Jh9616E/edit?usp=sharing"",""รวมใต้!N224"")"),1316836.6)</f>
        <v>1316836.6000000001</v>
      </c>
      <c r="O224" s="165">
        <f ca="1">IF(L224&gt;0,N224*100/L224,0)</f>
        <v>96.145777128776132</v>
      </c>
      <c r="P224" s="165">
        <f t="shared" ca="1" si="76"/>
        <v>96.145777128776132</v>
      </c>
    </row>
    <row r="225" spans="1:16" ht="21.75" customHeight="1" x14ac:dyDescent="0.4">
      <c r="A225" s="158"/>
      <c r="B225" s="159"/>
      <c r="C225" s="159"/>
      <c r="D225" s="166"/>
      <c r="E225" s="167"/>
      <c r="F225" s="167"/>
      <c r="G225" s="34" t="s">
        <v>21</v>
      </c>
      <c r="H225" s="168" t="s">
        <v>12</v>
      </c>
      <c r="I225" s="162"/>
      <c r="J225" s="162"/>
      <c r="K225" s="163"/>
      <c r="L225" s="164">
        <f ca="1">IFERROR(__xludf.DUMMYFUNCTION("IMPORTRANGE(""https://docs.google.com/spreadsheets/d/1yGy89TWty5kAjAO5OL1fLLQ_DL8fVJHFf2LvMm8qymA/edit?usp=sharing"",""รวมเหนือ!L225"")+IMPORTRANGE(""https://docs.google.com/spreadsheets/d/1bWGR5Y7oTgtZIep2hLdTHG-chM0w9aHBSSpJHwm6lak/edit?usp=sharing"","""&amp;"รวมตะวันออกเฉียงเหนือ!L225"")+IMPORTRANGE(""https://docs.google.com/spreadsheets/d/1dCxWUCc_SKNp-qd8qsaa5pPX_-BuQqWJ_-8FnsS4Ki0/edit?usp=sharing"",""รวมกลาง!L225"")+IMPORTRANGE(""https://docs.google.com/spreadsheets/d/1uOzBKYgpuhMUe0xXQLXSct3xZ80hakAMJHdG"&amp;"Jh9616E/edit?usp=sharing"",""รวมใต้!L225"")"),0)</f>
        <v>0</v>
      </c>
      <c r="M225" s="164"/>
      <c r="N225" s="164"/>
      <c r="O225" s="165"/>
      <c r="P225" s="165"/>
    </row>
    <row r="226" spans="1:16" ht="21.75" customHeight="1" x14ac:dyDescent="0.4">
      <c r="A226" s="158"/>
      <c r="B226" s="159"/>
      <c r="C226" s="159"/>
      <c r="D226" s="166"/>
      <c r="E226" s="167"/>
      <c r="F226" s="167"/>
      <c r="G226" s="34" t="s">
        <v>22</v>
      </c>
      <c r="H226" s="168" t="s">
        <v>12</v>
      </c>
      <c r="I226" s="162"/>
      <c r="J226" s="162"/>
      <c r="K226" s="163"/>
      <c r="L226" s="164">
        <f ca="1">IFERROR(__xludf.DUMMYFUNCTION("IMPORTRANGE(""https://docs.google.com/spreadsheets/d/1yGy89TWty5kAjAO5OL1fLLQ_DL8fVJHFf2LvMm8qymA/edit?usp=sharing"",""รวมเหนือ!L226"")+IMPORTRANGE(""https://docs.google.com/spreadsheets/d/1bWGR5Y7oTgtZIep2hLdTHG-chM0w9aHBSSpJHwm6lak/edit?usp=sharing"","""&amp;"รวมตะวันออกเฉียงเหนือ!L226"")+IMPORTRANGE(""https://docs.google.com/spreadsheets/d/1dCxWUCc_SKNp-qd8qsaa5pPX_-BuQqWJ_-8FnsS4Ki0/edit?usp=sharing"",""รวมกลาง!L226"")+IMPORTRANGE(""https://docs.google.com/spreadsheets/d/1uOzBKYgpuhMUe0xXQLXSct3xZ80hakAMJHdG"&amp;"Jh9616E/edit?usp=sharing"",""รวมใต้!L226"")"),1369625)</f>
        <v>1369625</v>
      </c>
      <c r="M226" s="164"/>
      <c r="N226" s="164"/>
      <c r="O226" s="165"/>
      <c r="P226" s="165"/>
    </row>
    <row r="227" spans="1:16" ht="21.75" customHeight="1" x14ac:dyDescent="0.4">
      <c r="A227" s="169"/>
      <c r="B227" s="80"/>
      <c r="C227" s="81" t="s">
        <v>16</v>
      </c>
      <c r="D227" s="531" t="s">
        <v>23</v>
      </c>
      <c r="E227" s="532"/>
      <c r="F227" s="86"/>
      <c r="G227" s="82" t="s">
        <v>18</v>
      </c>
      <c r="H227" s="170" t="s">
        <v>12</v>
      </c>
      <c r="I227" s="198"/>
      <c r="J227" s="198"/>
      <c r="K227" s="290"/>
      <c r="L227" s="41">
        <f ca="1">IFERROR(__xludf.DUMMYFUNCTION("IMPORTRANGE(""https://docs.google.com/spreadsheets/d/1Yj_ptqi66GCucihVvJfMjLAmec39IyEx_6qawtMGysU/edit?usp=sharing"",""สบก!BQ15"")"),31083700)</f>
        <v>31083700</v>
      </c>
      <c r="M227" s="41">
        <f ca="1">L227</f>
        <v>31083700</v>
      </c>
      <c r="N227" s="41">
        <f ca="1">IFERROR(__xludf.DUMMYFUNCTION("IMPORTRANGE(""https://docs.google.com/spreadsheets/d/1Yj_ptqi66GCucihVvJfMjLAmec39IyEx_6qawtMGysU/edit?usp=sharing"",""สบก!BU15"")"),29795700)</f>
        <v>29795700</v>
      </c>
      <c r="O227" s="165">
        <f t="shared" ref="O227:O228" ca="1" si="79">IF(L227&gt;0,N227*100/L227,0)</f>
        <v>95.856349147624002</v>
      </c>
      <c r="P227" s="165">
        <f ca="1">IF(M227&gt;0,N227*100/M227,0)</f>
        <v>95.856349147624002</v>
      </c>
    </row>
    <row r="228" spans="1:16" ht="21.75" customHeight="1" x14ac:dyDescent="0.4">
      <c r="A228" s="171"/>
      <c r="B228" s="89"/>
      <c r="C228" s="89"/>
      <c r="D228" s="172"/>
      <c r="E228" s="90"/>
      <c r="F228" s="90"/>
      <c r="G228" s="91" t="s">
        <v>19</v>
      </c>
      <c r="H228" s="173" t="s">
        <v>12</v>
      </c>
      <c r="I228" s="198"/>
      <c r="J228" s="198"/>
      <c r="K228" s="290"/>
      <c r="L228" s="49">
        <f ca="1">IFERROR(__xludf.DUMMYFUNCTION("IMPORTRANGE(""https://docs.google.com/spreadsheets/d/1yGy89TWty5kAjAO5OL1fLLQ_DL8fVJHFf2LvMm8qymA/edit?usp=sharing"",""รวมเหนือ!L228"")+IMPORTRANGE(""https://docs.google.com/spreadsheets/d/1bWGR5Y7oTgtZIep2hLdTHG-chM0w9aHBSSpJHwm6lak/edit?usp=sharing"","""&amp;"รวมตะวันออกเฉียงเหนือ!L228"")+IMPORTRANGE(""https://docs.google.com/spreadsheets/d/1dCxWUCc_SKNp-qd8qsaa5pPX_-BuQqWJ_-8FnsS4Ki0/edit?usp=sharing"",""รวมกลาง!L228"")+IMPORTRANGE(""https://docs.google.com/spreadsheets/d/1uOzBKYgpuhMUe0xXQLXSct3xZ80hakAMJHdG"&amp;"Jh9616E/edit?usp=sharing"",""รวมใต้!L228"")"),0)</f>
        <v>0</v>
      </c>
      <c r="M228" s="49"/>
      <c r="N228" s="49">
        <f ca="1">IFERROR(__xludf.DUMMYFUNCTION("IMPORTRANGE(""https://docs.google.com/spreadsheets/d/1yGy89TWty5kAjAO5OL1fLLQ_DL8fVJHFf2LvMm8qymA/edit?usp=sharing"",""รวมเหนือ!N228"")+IMPORTRANGE(""https://docs.google.com/spreadsheets/d/1bWGR5Y7oTgtZIep2hLdTHG-chM0w9aHBSSpJHwm6lak/edit?usp=sharing"","""&amp;"รวมตะวันออกเฉียงเหนือ!N228"")+IMPORTRANGE(""https://docs.google.com/spreadsheets/d/1dCxWUCc_SKNp-qd8qsaa5pPX_-BuQqWJ_-8FnsS4Ki0/edit?usp=sharing"",""รวมกลาง!N228"")+IMPORTRANGE(""https://docs.google.com/spreadsheets/d/1uOzBKYgpuhMUe0xXQLXSct3xZ80hakAMJHdG"&amp;"Jh9616E/edit?usp=sharing"",""รวมใต้!N228"")"),0)</f>
        <v>0</v>
      </c>
      <c r="O228" s="121">
        <f t="shared" ca="1" si="79"/>
        <v>0</v>
      </c>
      <c r="P228" s="121"/>
    </row>
    <row r="229" spans="1:16" ht="21.75" customHeight="1" x14ac:dyDescent="0.3">
      <c r="A229" s="174"/>
      <c r="B229" s="291"/>
      <c r="C229" s="260" t="s">
        <v>98</v>
      </c>
      <c r="D229" s="259"/>
      <c r="E229" s="259"/>
      <c r="F229" s="259"/>
      <c r="G229" s="261"/>
      <c r="H229" s="262" t="s">
        <v>37</v>
      </c>
      <c r="I229" s="289">
        <v>800</v>
      </c>
      <c r="J229" s="263">
        <f ca="1">IFERROR(__xludf.DUMMYFUNCTION("IMPORTRANGE(""https://docs.google.com/spreadsheets/d/1yGy89TWty5kAjAO5OL1fLLQ_DL8fVJHFf2LvMm8qymA/edit?usp=sharing"",""รวมเหนือ!J229"")+IMPORTRANGE(""https://docs.google.com/spreadsheets/d/1bWGR5Y7oTgtZIep2hLdTHG-chM0w9aHBSSpJHwm6lak/edit?usp=sharing"","""&amp;"รวมตะวันออกเฉียงเหนือ!J229"")+IMPORTRANGE(""https://docs.google.com/spreadsheets/d/1dCxWUCc_SKNp-qd8qsaa5pPX_-BuQqWJ_-8FnsS4Ki0/edit?usp=sharing"",""รวมกลาง!J229"")+IMPORTRANGE(""https://docs.google.com/spreadsheets/d/1uOzBKYgpuhMUe0xXQLXSct3xZ80hakAMJHdG"&amp;"Jh9616E/edit?usp=sharing"",""รวมใต้!J229"")"),955)</f>
        <v>955</v>
      </c>
      <c r="K229" s="264">
        <f ca="1">IF(I229&gt;0,J229*100/I229,0)</f>
        <v>119.375</v>
      </c>
      <c r="L229" s="292"/>
      <c r="M229" s="292"/>
      <c r="N229" s="292"/>
      <c r="O229" s="292"/>
      <c r="P229" s="292"/>
    </row>
    <row r="230" spans="1:16" ht="21.75" customHeight="1" x14ac:dyDescent="0.3">
      <c r="A230" s="174"/>
      <c r="B230" s="175"/>
      <c r="C230" s="159" t="s">
        <v>16</v>
      </c>
      <c r="D230" s="176" t="s">
        <v>41</v>
      </c>
      <c r="E230" s="177"/>
      <c r="F230" s="177"/>
      <c r="G230" s="178"/>
      <c r="H230" s="179"/>
      <c r="I230" s="162"/>
      <c r="J230" s="162"/>
      <c r="K230" s="163"/>
      <c r="L230" s="180"/>
      <c r="M230" s="180"/>
      <c r="N230" s="180"/>
      <c r="O230" s="180"/>
      <c r="P230" s="180"/>
    </row>
    <row r="231" spans="1:16" ht="21.75" customHeight="1" x14ac:dyDescent="0.3">
      <c r="A231" s="174"/>
      <c r="B231" s="175"/>
      <c r="C231" s="175"/>
      <c r="D231" s="181">
        <v>1</v>
      </c>
      <c r="E231" s="182" t="s">
        <v>42</v>
      </c>
      <c r="F231" s="183"/>
      <c r="G231" s="184"/>
      <c r="H231" s="185"/>
      <c r="I231" s="186"/>
      <c r="J231" s="186">
        <f ca="1">IFERROR(__xludf.DUMMYFUNCTION("IMPORTRANGE(""https://docs.google.com/spreadsheets/d/1yGy89TWty5kAjAO5OL1fLLQ_DL8fVJHFf2LvMm8qymA/edit?usp=sharing"",""รวมเหนือ!J231"")+IMPORTRANGE(""https://docs.google.com/spreadsheets/d/1bWGR5Y7oTgtZIep2hLdTHG-chM0w9aHBSSpJHwm6lak/edit?usp=sharing"","""&amp;"รวมตะวันออกเฉียงเหนือ!J231"")+IMPORTRANGE(""https://docs.google.com/spreadsheets/d/1dCxWUCc_SKNp-qd8qsaa5pPX_-BuQqWJ_-8FnsS4Ki0/edit?usp=sharing"",""รวมกลาง!J231"")+IMPORTRANGE(""https://docs.google.com/spreadsheets/d/1uOzBKYgpuhMUe0xXQLXSct3xZ80hakAMJHdG"&amp;"Jh9616E/edit?usp=sharing"",""รวมใต้!J231"")"),0)</f>
        <v>0</v>
      </c>
      <c r="K231" s="163"/>
      <c r="L231" s="180"/>
      <c r="M231" s="180"/>
      <c r="N231" s="180"/>
      <c r="O231" s="180"/>
      <c r="P231" s="180"/>
    </row>
    <row r="232" spans="1:16" ht="21.75" customHeight="1" x14ac:dyDescent="0.3">
      <c r="A232" s="174"/>
      <c r="B232" s="175"/>
      <c r="C232" s="175"/>
      <c r="D232" s="188">
        <v>2</v>
      </c>
      <c r="E232" s="189" t="s">
        <v>43</v>
      </c>
      <c r="F232" s="190"/>
      <c r="G232" s="191"/>
      <c r="H232" s="185"/>
      <c r="I232" s="186"/>
      <c r="J232" s="187">
        <f ca="1">IFERROR(__xludf.DUMMYFUNCTION("IMPORTRANGE(""https://docs.google.com/spreadsheets/d/1yGy89TWty5kAjAO5OL1fLLQ_DL8fVJHFf2LvMm8qymA/edit?usp=sharing"",""รวมเหนือ!J232"")+IMPORTRANGE(""https://docs.google.com/spreadsheets/d/1bWGR5Y7oTgtZIep2hLdTHG-chM0w9aHBSSpJHwm6lak/edit?usp=sharing"","""&amp;"รวมตะวันออกเฉียงเหนือ!J232"")+IMPORTRANGE(""https://docs.google.com/spreadsheets/d/1dCxWUCc_SKNp-qd8qsaa5pPX_-BuQqWJ_-8FnsS4Ki0/edit?usp=sharing"",""รวมกลาง!J232"")+IMPORTRANGE(""https://docs.google.com/spreadsheets/d/1uOzBKYgpuhMUe0xXQLXSct3xZ80hakAMJHdG"&amp;"Jh9616E/edit?usp=sharing"",""รวมใต้!J232"")"),57)</f>
        <v>57</v>
      </c>
      <c r="K232" s="163"/>
      <c r="L232" s="180" t="s">
        <v>39</v>
      </c>
      <c r="M232" s="180"/>
      <c r="N232" s="180" t="s">
        <v>39</v>
      </c>
      <c r="O232" s="180"/>
      <c r="P232" s="180"/>
    </row>
    <row r="233" spans="1:16" ht="21.75" customHeight="1" x14ac:dyDescent="0.3">
      <c r="A233" s="174"/>
      <c r="B233" s="175"/>
      <c r="C233" s="175"/>
      <c r="D233" s="192"/>
      <c r="E233" s="193" t="s">
        <v>44</v>
      </c>
      <c r="F233" s="194"/>
      <c r="G233" s="195"/>
      <c r="H233" s="185"/>
      <c r="I233" s="186"/>
      <c r="J233" s="187">
        <f ca="1">IFERROR(__xludf.DUMMYFUNCTION("IMPORTRANGE(""https://docs.google.com/spreadsheets/d/1yGy89TWty5kAjAO5OL1fLLQ_DL8fVJHFf2LvMm8qymA/edit?usp=sharing"",""รวมเหนือ!J233"")+IMPORTRANGE(""https://docs.google.com/spreadsheets/d/1bWGR5Y7oTgtZIep2hLdTHG-chM0w9aHBSSpJHwm6lak/edit?usp=sharing"","""&amp;"รวมตะวันออกเฉียงเหนือ!J233"")+IMPORTRANGE(""https://docs.google.com/spreadsheets/d/1dCxWUCc_SKNp-qd8qsaa5pPX_-BuQqWJ_-8FnsS4Ki0/edit?usp=sharing"",""รวมกลาง!J233"")+IMPORTRANGE(""https://docs.google.com/spreadsheets/d/1uOzBKYgpuhMUe0xXQLXSct3xZ80hakAMJHdG"&amp;"Jh9616E/edit?usp=sharing"",""รวมใต้!J233"")"),57)</f>
        <v>57</v>
      </c>
      <c r="K233" s="163"/>
      <c r="L233" s="180"/>
      <c r="M233" s="180"/>
      <c r="N233" s="180"/>
      <c r="O233" s="180"/>
      <c r="P233" s="180"/>
    </row>
    <row r="234" spans="1:16" ht="21.75" customHeight="1" x14ac:dyDescent="0.3">
      <c r="A234" s="174"/>
      <c r="B234" s="175"/>
      <c r="C234" s="175"/>
      <c r="D234" s="192"/>
      <c r="E234" s="193" t="s">
        <v>45</v>
      </c>
      <c r="F234" s="194"/>
      <c r="G234" s="195"/>
      <c r="H234" s="185"/>
      <c r="I234" s="186"/>
      <c r="J234" s="186">
        <f ca="1">IFERROR(__xludf.DUMMYFUNCTION("IMPORTRANGE(""https://docs.google.com/spreadsheets/d/1yGy89TWty5kAjAO5OL1fLLQ_DL8fVJHFf2LvMm8qymA/edit?usp=sharing"",""รวมเหนือ!J234"")+IMPORTRANGE(""https://docs.google.com/spreadsheets/d/1bWGR5Y7oTgtZIep2hLdTHG-chM0w9aHBSSpJHwm6lak/edit?usp=sharing"","""&amp;"รวมตะวันออกเฉียงเหนือ!J234"")+IMPORTRANGE(""https://docs.google.com/spreadsheets/d/1dCxWUCc_SKNp-qd8qsaa5pPX_-BuQqWJ_-8FnsS4Ki0/edit?usp=sharing"",""รวมกลาง!J234"")+IMPORTRANGE(""https://docs.google.com/spreadsheets/d/1uOzBKYgpuhMUe0xXQLXSct3xZ80hakAMJHdG"&amp;"Jh9616E/edit?usp=sharing"",""รวมใต้!J234"")"),53)</f>
        <v>53</v>
      </c>
      <c r="K234" s="163"/>
      <c r="L234" s="180"/>
      <c r="M234" s="180"/>
      <c r="N234" s="180"/>
      <c r="O234" s="180"/>
      <c r="P234" s="180"/>
    </row>
    <row r="235" spans="1:16" ht="21.75" customHeight="1" x14ac:dyDescent="0.3">
      <c r="A235" s="174"/>
      <c r="B235" s="175"/>
      <c r="C235" s="175"/>
      <c r="D235" s="192"/>
      <c r="E235" s="196"/>
      <c r="F235" s="194"/>
      <c r="G235" s="223" t="s">
        <v>67</v>
      </c>
      <c r="H235" s="185" t="s">
        <v>37</v>
      </c>
      <c r="I235" s="186">
        <f ca="1">IFERROR(__xludf.DUMMYFUNCTION("IMPORTRANGE(""https://docs.google.com/spreadsheets/d/1yGy89TWty5kAjAO5OL1fLLQ_DL8fVJHFf2LvMm8qymA/edit?usp=sharing"",""รวมเหนือ!I235"")+IMPORTRANGE(""https://docs.google.com/spreadsheets/d/1bWGR5Y7oTgtZIep2hLdTHG-chM0w9aHBSSpJHwm6lak/edit?usp=sharing"","""&amp;"รวมตะวันออกเฉียงเหนือ!I235"")+IMPORTRANGE(""https://docs.google.com/spreadsheets/d/1dCxWUCc_SKNp-qd8qsaa5pPX_-BuQqWJ_-8FnsS4Ki0/edit?usp=sharing"",""รวมกลาง!I235"")+IMPORTRANGE(""https://docs.google.com/spreadsheets/d/1uOzBKYgpuhMUe0xXQLXSct3xZ80hakAMJHdG"&amp;"Jh9616E/edit?usp=sharing"",""รวมใต้!I235"")"),955)</f>
        <v>955</v>
      </c>
      <c r="J235" s="187">
        <f ca="1">IFERROR(__xludf.DUMMYFUNCTION("IMPORTRANGE(""https://docs.google.com/spreadsheets/d/1yGy89TWty5kAjAO5OL1fLLQ_DL8fVJHFf2LvMm8qymA/edit?usp=sharing"",""รวมเหนือ!J235"")+IMPORTRANGE(""https://docs.google.com/spreadsheets/d/1bWGR5Y7oTgtZIep2hLdTHG-chM0w9aHBSSpJHwm6lak/edit?usp=sharing"","""&amp;"รวมตะวันออกเฉียงเหนือ!J235"")+IMPORTRANGE(""https://docs.google.com/spreadsheets/d/1dCxWUCc_SKNp-qd8qsaa5pPX_-BuQqWJ_-8FnsS4Ki0/edit?usp=sharing"",""รวมกลาง!J235"")+IMPORTRANGE(""https://docs.google.com/spreadsheets/d/1uOzBKYgpuhMUe0xXQLXSct3xZ80hakAMJHdG"&amp;"Jh9616E/edit?usp=sharing"",""รวมใต้!J235"")"),955)</f>
        <v>955</v>
      </c>
      <c r="K235" s="163">
        <f ca="1">IF(I235&gt;0,J235*100/I235,0)</f>
        <v>100</v>
      </c>
      <c r="L235" s="180"/>
      <c r="M235" s="180"/>
      <c r="N235" s="180"/>
      <c r="O235" s="180"/>
      <c r="P235" s="180"/>
    </row>
    <row r="236" spans="1:16" ht="21.75" customHeight="1" x14ac:dyDescent="0.3">
      <c r="A236" s="174"/>
      <c r="B236" s="175"/>
      <c r="C236" s="175"/>
      <c r="D236" s="192"/>
      <c r="E236" s="193" t="s">
        <v>51</v>
      </c>
      <c r="F236" s="194"/>
      <c r="G236" s="195"/>
      <c r="H236" s="185"/>
      <c r="I236" s="186"/>
      <c r="J236" s="186">
        <f ca="1">IFERROR(__xludf.DUMMYFUNCTION("IMPORTRANGE(""https://docs.google.com/spreadsheets/d/1yGy89TWty5kAjAO5OL1fLLQ_DL8fVJHFf2LvMm8qymA/edit?usp=sharing"",""รวมเหนือ!J236"")+IMPORTRANGE(""https://docs.google.com/spreadsheets/d/1bWGR5Y7oTgtZIep2hLdTHG-chM0w9aHBSSpJHwm6lak/edit?usp=sharing"","""&amp;"รวมตะวันออกเฉียงเหนือ!J236"")+IMPORTRANGE(""https://docs.google.com/spreadsheets/d/1dCxWUCc_SKNp-qd8qsaa5pPX_-BuQqWJ_-8FnsS4Ki0/edit?usp=sharing"",""รวมกลาง!J236"")+IMPORTRANGE(""https://docs.google.com/spreadsheets/d/1uOzBKYgpuhMUe0xXQLXSct3xZ80hakAMJHdG"&amp;"Jh9616E/edit?usp=sharing"",""รวมใต้!J236"")"),28)</f>
        <v>28</v>
      </c>
      <c r="K236" s="163"/>
      <c r="L236" s="180"/>
      <c r="M236" s="180"/>
      <c r="N236" s="180"/>
      <c r="O236" s="180"/>
      <c r="P236" s="180"/>
    </row>
    <row r="237" spans="1:16" ht="21.75" customHeight="1" x14ac:dyDescent="0.3">
      <c r="A237" s="174"/>
      <c r="B237" s="175"/>
      <c r="C237" s="175"/>
      <c r="D237" s="202">
        <v>3</v>
      </c>
      <c r="E237" s="203" t="s">
        <v>52</v>
      </c>
      <c r="F237" s="204"/>
      <c r="G237" s="205"/>
      <c r="H237" s="185"/>
      <c r="I237" s="186"/>
      <c r="J237" s="206">
        <f ca="1">IFERROR(__xludf.DUMMYFUNCTION("IMPORTRANGE(""https://docs.google.com/spreadsheets/d/1yGy89TWty5kAjAO5OL1fLLQ_DL8fVJHFf2LvMm8qymA/edit?usp=sharing"",""รวมเหนือ!J237"")+IMPORTRANGE(""https://docs.google.com/spreadsheets/d/1bWGR5Y7oTgtZIep2hLdTHG-chM0w9aHBSSpJHwm6lak/edit?usp=sharing"","""&amp;"รวมตะวันออกเฉียงเหนือ!J237"")+IMPORTRANGE(""https://docs.google.com/spreadsheets/d/1dCxWUCc_SKNp-qd8qsaa5pPX_-BuQqWJ_-8FnsS4Ki0/edit?usp=sharing"",""รวมกลาง!J237"")+IMPORTRANGE(""https://docs.google.com/spreadsheets/d/1uOzBKYgpuhMUe0xXQLXSct3xZ80hakAMJHdG"&amp;"Jh9616E/edit?usp=sharing"",""รวมใต้!J237"")"),10)</f>
        <v>10</v>
      </c>
      <c r="K237" s="163"/>
      <c r="L237" s="180"/>
      <c r="M237" s="180"/>
      <c r="N237" s="180"/>
      <c r="O237" s="180"/>
      <c r="P237" s="180"/>
    </row>
    <row r="238" spans="1:16" ht="21.75" customHeight="1" x14ac:dyDescent="0.3">
      <c r="A238" s="174"/>
      <c r="B238" s="175"/>
      <c r="C238" s="260" t="s">
        <v>99</v>
      </c>
      <c r="D238" s="293"/>
      <c r="E238" s="259"/>
      <c r="F238" s="259"/>
      <c r="G238" s="261"/>
      <c r="H238" s="262" t="s">
        <v>37</v>
      </c>
      <c r="I238" s="289">
        <v>200</v>
      </c>
      <c r="J238" s="289">
        <f ca="1">J244</f>
        <v>37</v>
      </c>
      <c r="K238" s="264">
        <f ca="1">IF(I238&gt;0,J238*100/I238,0)</f>
        <v>18.5</v>
      </c>
      <c r="L238" s="180"/>
      <c r="M238" s="180"/>
      <c r="N238" s="180"/>
      <c r="O238" s="180"/>
      <c r="P238" s="180"/>
    </row>
    <row r="239" spans="1:16" ht="21.75" customHeight="1" x14ac:dyDescent="0.3">
      <c r="A239" s="174"/>
      <c r="B239" s="175"/>
      <c r="C239" s="159" t="s">
        <v>16</v>
      </c>
      <c r="D239" s="176" t="s">
        <v>41</v>
      </c>
      <c r="E239" s="177"/>
      <c r="F239" s="177"/>
      <c r="G239" s="178"/>
      <c r="H239" s="179"/>
      <c r="I239" s="162"/>
      <c r="J239" s="162"/>
      <c r="K239" s="163"/>
      <c r="L239" s="180"/>
      <c r="M239" s="180"/>
      <c r="N239" s="180"/>
      <c r="O239" s="180"/>
      <c r="P239" s="180"/>
    </row>
    <row r="240" spans="1:16" ht="21.75" customHeight="1" x14ac:dyDescent="0.3">
      <c r="A240" s="174"/>
      <c r="B240" s="175"/>
      <c r="C240" s="175"/>
      <c r="D240" s="181">
        <v>1</v>
      </c>
      <c r="E240" s="182" t="s">
        <v>42</v>
      </c>
      <c r="F240" s="183"/>
      <c r="G240" s="184"/>
      <c r="H240" s="185"/>
      <c r="I240" s="186"/>
      <c r="J240" s="186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0"/>
      <c r="M240" s="180"/>
      <c r="N240" s="180"/>
      <c r="O240" s="180"/>
      <c r="P240" s="180"/>
    </row>
    <row r="241" spans="1:16" ht="21.75" customHeight="1" x14ac:dyDescent="0.3">
      <c r="A241" s="174"/>
      <c r="B241" s="175"/>
      <c r="C241" s="175"/>
      <c r="D241" s="188">
        <v>2</v>
      </c>
      <c r="E241" s="189" t="s">
        <v>43</v>
      </c>
      <c r="F241" s="190"/>
      <c r="G241" s="191"/>
      <c r="H241" s="185"/>
      <c r="I241" s="186"/>
      <c r="J241" s="186">
        <f ca="1">IFERROR(__xludf.DUMMYFUNCTION("IMPORTRANGE(""https://docs.google.com/spreadsheets/d/1yGy89TWty5kAjAO5OL1fLLQ_DL8fVJHFf2LvMm8qymA/edit?usp=sharing"",""รวมเหนือ!J241"")+IMPORTRANGE(""https://docs.google.com/spreadsheets/d/1bWGR5Y7oTgtZIep2hLdTHG-chM0w9aHBSSpJHwm6lak/edit?usp=sharing"","""&amp;"รวมตะวันออกเฉียงเหนือ!J241"")+IMPORTRANGE(""https://docs.google.com/spreadsheets/d/1dCxWUCc_SKNp-qd8qsaa5pPX_-BuQqWJ_-8FnsS4Ki0/edit?usp=sharing"",""รวมกลาง!J241"")+IMPORTRANGE(""https://docs.google.com/spreadsheets/d/1uOzBKYgpuhMUe0xXQLXSct3xZ80hakAMJHdG"&amp;"Jh9616E/edit?usp=sharing"",""รวมใต้!J241"")"),0)</f>
        <v>0</v>
      </c>
      <c r="K241" s="163"/>
      <c r="L241" s="180" t="s">
        <v>39</v>
      </c>
      <c r="M241" s="180"/>
      <c r="N241" s="180" t="s">
        <v>39</v>
      </c>
      <c r="O241" s="180"/>
      <c r="P241" s="180"/>
    </row>
    <row r="242" spans="1:16" ht="21.75" customHeight="1" x14ac:dyDescent="0.3">
      <c r="A242" s="174"/>
      <c r="B242" s="175"/>
      <c r="C242" s="175"/>
      <c r="D242" s="192"/>
      <c r="E242" s="193" t="s">
        <v>44</v>
      </c>
      <c r="F242" s="194"/>
      <c r="G242" s="195"/>
      <c r="H242" s="185"/>
      <c r="I242" s="186"/>
      <c r="J242" s="186">
        <f ca="1">IFERROR(__xludf.DUMMYFUNCTION("IMPORTRANGE(""https://docs.google.com/spreadsheets/d/1yGy89TWty5kAjAO5OL1fLLQ_DL8fVJHFf2LvMm8qymA/edit?usp=sharing"",""รวมเหนือ!J242"")+IMPORTRANGE(""https://docs.google.com/spreadsheets/d/1bWGR5Y7oTgtZIep2hLdTHG-chM0w9aHBSSpJHwm6lak/edit?usp=sharing"","""&amp;"รวมตะวันออกเฉียงเหนือ!J242"")+IMPORTRANGE(""https://docs.google.com/spreadsheets/d/1dCxWUCc_SKNp-qd8qsaa5pPX_-BuQqWJ_-8FnsS4Ki0/edit?usp=sharing"",""รวมกลาง!J242"")+IMPORTRANGE(""https://docs.google.com/spreadsheets/d/1uOzBKYgpuhMUe0xXQLXSct3xZ80hakAMJHdG"&amp;"Jh9616E/edit?usp=sharing"",""รวมใต้!J242"")"),0)</f>
        <v>0</v>
      </c>
      <c r="K242" s="163"/>
      <c r="L242" s="180"/>
      <c r="M242" s="180"/>
      <c r="N242" s="180"/>
      <c r="O242" s="180"/>
      <c r="P242" s="180"/>
    </row>
    <row r="243" spans="1:16" ht="21.75" customHeight="1" x14ac:dyDescent="0.3">
      <c r="A243" s="174"/>
      <c r="B243" s="175"/>
      <c r="C243" s="175"/>
      <c r="D243" s="192"/>
      <c r="E243" s="193" t="s">
        <v>45</v>
      </c>
      <c r="F243" s="194"/>
      <c r="G243" s="195"/>
      <c r="H243" s="185"/>
      <c r="I243" s="186"/>
      <c r="J243" s="186">
        <f ca="1">IFERROR(__xludf.DUMMYFUNCTION("IMPORTRANGE(""https://docs.google.com/spreadsheets/d/1yGy89TWty5kAjAO5OL1fLLQ_DL8fVJHFf2LvMm8qymA/edit?usp=sharing"",""รวมเหนือ!J243"")+IMPORTRANGE(""https://docs.google.com/spreadsheets/d/1bWGR5Y7oTgtZIep2hLdTHG-chM0w9aHBSSpJHwm6lak/edit?usp=sharing"","""&amp;"รวมตะวันออกเฉียงเหนือ!J243"")+IMPORTRANGE(""https://docs.google.com/spreadsheets/d/1dCxWUCc_SKNp-qd8qsaa5pPX_-BuQqWJ_-8FnsS4Ki0/edit?usp=sharing"",""รวมกลาง!J243"")+IMPORTRANGE(""https://docs.google.com/spreadsheets/d/1uOzBKYgpuhMUe0xXQLXSct3xZ80hakAMJHdG"&amp;"Jh9616E/edit?usp=sharing"",""รวมใต้!J243"")"),0)</f>
        <v>0</v>
      </c>
      <c r="K243" s="163"/>
      <c r="L243" s="180"/>
      <c r="M243" s="180"/>
      <c r="N243" s="180"/>
      <c r="O243" s="180"/>
      <c r="P243" s="180"/>
    </row>
    <row r="244" spans="1:16" ht="21.75" customHeight="1" x14ac:dyDescent="0.3">
      <c r="A244" s="174"/>
      <c r="B244" s="175"/>
      <c r="C244" s="175"/>
      <c r="D244" s="192"/>
      <c r="E244" s="194"/>
      <c r="F244" s="193" t="s">
        <v>100</v>
      </c>
      <c r="G244" s="194"/>
      <c r="H244" s="185" t="s">
        <v>37</v>
      </c>
      <c r="I244" s="187">
        <v>200</v>
      </c>
      <c r="J244" s="187">
        <f ca="1">IFERROR(__xludf.DUMMYFUNCTION("IMPORTRANGE(""https://docs.google.com/spreadsheets/d/1-fhVXPMm30suWK0-eslVgeT9cTVfCsDeUsq7Bk5UZE8/edit?usp=sharing"",""ทั้งประเทศ!J164"")"),37)</f>
        <v>37</v>
      </c>
      <c r="K244" s="163">
        <f ca="1">IF(I244&gt;0,J244*100/I244,0)</f>
        <v>18.5</v>
      </c>
      <c r="L244" s="180"/>
      <c r="M244" s="180"/>
      <c r="N244" s="180"/>
      <c r="O244" s="180"/>
      <c r="P244" s="180"/>
    </row>
    <row r="245" spans="1:16" ht="21.75" customHeight="1" x14ac:dyDescent="0.3">
      <c r="A245" s="174"/>
      <c r="B245" s="175"/>
      <c r="C245" s="175"/>
      <c r="D245" s="192"/>
      <c r="E245" s="193" t="s">
        <v>51</v>
      </c>
      <c r="F245" s="194"/>
      <c r="G245" s="195"/>
      <c r="H245" s="185"/>
      <c r="I245" s="186"/>
      <c r="J245" s="186">
        <f ca="1">IFERROR(__xludf.DUMMYFUNCTION("IMPORTRANGE(""https://docs.google.com/spreadsheets/d/1yGy89TWty5kAjAO5OL1fLLQ_DL8fVJHFf2LvMm8qymA/edit?usp=sharing"",""รวมเหนือ!J245"")+IMPORTRANGE(""https://docs.google.com/spreadsheets/d/1bWGR5Y7oTgtZIep2hLdTHG-chM0w9aHBSSpJHwm6lak/edit?usp=sharing"","""&amp;"รวมตะวันออกเฉียงเหนือ!J245"")+IMPORTRANGE(""https://docs.google.com/spreadsheets/d/1dCxWUCc_SKNp-qd8qsaa5pPX_-BuQqWJ_-8FnsS4Ki0/edit?usp=sharing"",""รวมกลาง!J245"")+IMPORTRANGE(""https://docs.google.com/spreadsheets/d/1uOzBKYgpuhMUe0xXQLXSct3xZ80hakAMJHdG"&amp;"Jh9616E/edit?usp=sharing"",""รวมใต้!J245"")"),0)</f>
        <v>0</v>
      </c>
      <c r="K245" s="163"/>
      <c r="L245" s="180"/>
      <c r="M245" s="180"/>
      <c r="N245" s="180"/>
      <c r="O245" s="180"/>
      <c r="P245" s="180"/>
    </row>
    <row r="246" spans="1:16" ht="21.75" customHeight="1" x14ac:dyDescent="0.3">
      <c r="A246" s="230"/>
      <c r="B246" s="231"/>
      <c r="C246" s="231"/>
      <c r="D246" s="232">
        <v>3</v>
      </c>
      <c r="E246" s="233" t="s">
        <v>52</v>
      </c>
      <c r="F246" s="234"/>
      <c r="G246" s="235"/>
      <c r="H246" s="236"/>
      <c r="I246" s="237"/>
      <c r="J246" s="238">
        <f ca="1">IFERROR(__xludf.DUMMYFUNCTION("IMPORTRANGE(""https://docs.google.com/spreadsheets/d/1yGy89TWty5kAjAO5OL1fLLQ_DL8fVJHFf2LvMm8qymA/edit?usp=sharing"",""รวมเหนือ!J246"")+IMPORTRANGE(""https://docs.google.com/spreadsheets/d/1bWGR5Y7oTgtZIep2hLdTHG-chM0w9aHBSSpJHwm6lak/edit?usp=sharing"","""&amp;"รวมตะวันออกเฉียงเหนือ!J246"")+IMPORTRANGE(""https://docs.google.com/spreadsheets/d/1dCxWUCc_SKNp-qd8qsaa5pPX_-BuQqWJ_-8FnsS4Ki0/edit?usp=sharing"",""รวมกลาง!J246"")+IMPORTRANGE(""https://docs.google.com/spreadsheets/d/1uOzBKYgpuhMUe0xXQLXSct3xZ80hakAMJHdG"&amp;"Jh9616E/edit?usp=sharing"",""รวมใต้!J246"")"),0)</f>
        <v>0</v>
      </c>
      <c r="K246" s="286"/>
      <c r="L246" s="241"/>
      <c r="M246" s="241"/>
      <c r="N246" s="241"/>
      <c r="O246" s="241"/>
      <c r="P246" s="241"/>
    </row>
    <row r="247" spans="1:16" ht="21.75" customHeight="1" x14ac:dyDescent="0.3">
      <c r="A247" s="294" t="s">
        <v>101</v>
      </c>
      <c r="B247" s="295"/>
      <c r="C247" s="295"/>
      <c r="D247" s="295"/>
      <c r="E247" s="296"/>
      <c r="F247" s="296"/>
      <c r="G247" s="297"/>
      <c r="H247" s="298"/>
      <c r="I247" s="299"/>
      <c r="J247" s="299"/>
      <c r="K247" s="300"/>
      <c r="L247" s="301"/>
      <c r="M247" s="301"/>
      <c r="N247" s="301"/>
      <c r="O247" s="302"/>
      <c r="P247" s="302"/>
    </row>
    <row r="248" spans="1:16" ht="21.75" customHeight="1" x14ac:dyDescent="0.3">
      <c r="A248" s="303" t="s">
        <v>102</v>
      </c>
      <c r="B248" s="304"/>
      <c r="C248" s="304"/>
      <c r="D248" s="305"/>
      <c r="E248" s="305"/>
      <c r="F248" s="305"/>
      <c r="G248" s="306"/>
      <c r="H248" s="307"/>
      <c r="I248" s="308"/>
      <c r="J248" s="308"/>
      <c r="K248" s="309"/>
      <c r="L248" s="309"/>
      <c r="M248" s="309"/>
      <c r="N248" s="309"/>
      <c r="O248" s="310"/>
      <c r="P248" s="310"/>
    </row>
    <row r="249" spans="1:16" ht="21.75" customHeight="1" x14ac:dyDescent="0.3">
      <c r="A249" s="311"/>
      <c r="B249" s="312" t="s">
        <v>103</v>
      </c>
      <c r="C249" s="312"/>
      <c r="D249" s="312"/>
      <c r="E249" s="312"/>
      <c r="F249" s="312"/>
      <c r="G249" s="313"/>
      <c r="H249" s="314" t="s">
        <v>37</v>
      </c>
      <c r="I249" s="315">
        <f ca="1">IFERROR(__xludf.DUMMYFUNCTION("IMPORTRANGE(""https://docs.google.com/spreadsheets/d/1yGy89TWty5kAjAO5OL1fLLQ_DL8fVJHFf2LvMm8qymA/edit?usp=sharing"",""รวมเหนือ!I249"")+IMPORTRANGE(""https://docs.google.com/spreadsheets/d/1bWGR5Y7oTgtZIep2hLdTHG-chM0w9aHBSSpJHwm6lak/edit?usp=sharing"","""&amp;"รวมตะวันออกเฉียงเหนือ!I249"")+IMPORTRANGE(""https://docs.google.com/spreadsheets/d/1dCxWUCc_SKNp-qd8qsaa5pPX_-BuQqWJ_-8FnsS4Ki0/edit?usp=sharing"",""รวมกลาง!I249"")+IMPORTRANGE(""https://docs.google.com/spreadsheets/d/1uOzBKYgpuhMUe0xXQLXSct3xZ80hakAMJHdG"&amp;"Jh9616E/edit?usp=sharing"",""รวมใต้!I249"")"),700)</f>
        <v>700</v>
      </c>
      <c r="J249" s="315">
        <f ca="1">IFERROR(__xludf.DUMMYFUNCTION("IMPORTRANGE(""https://docs.google.com/spreadsheets/d/1yGy89TWty5kAjAO5OL1fLLQ_DL8fVJHFf2LvMm8qymA/edit?usp=sharing"",""รวมเหนือ!J249"")+IMPORTRANGE(""https://docs.google.com/spreadsheets/d/1bWGR5Y7oTgtZIep2hLdTHG-chM0w9aHBSSpJHwm6lak/edit?usp=sharing"","""&amp;"รวมตะวันออกเฉียงเหนือ!J249"")+IMPORTRANGE(""https://docs.google.com/spreadsheets/d/1dCxWUCc_SKNp-qd8qsaa5pPX_-BuQqWJ_-8FnsS4Ki0/edit?usp=sharing"",""รวมกลาง!J249"")+IMPORTRANGE(""https://docs.google.com/spreadsheets/d/1uOzBKYgpuhMUe0xXQLXSct3xZ80hakAMJHdG"&amp;"Jh9616E/edit?usp=sharing"",""รวมใต้!J249"")"),688)</f>
        <v>688</v>
      </c>
      <c r="K249" s="316">
        <f ca="1">IF(I249&gt;0,J249*100/I249,0)</f>
        <v>98.285714285714292</v>
      </c>
      <c r="L249" s="317"/>
      <c r="M249" s="317"/>
      <c r="N249" s="317"/>
      <c r="O249" s="316"/>
      <c r="P249" s="316"/>
    </row>
    <row r="250" spans="1:16" ht="21.75" customHeight="1" x14ac:dyDescent="0.4">
      <c r="A250" s="146"/>
      <c r="B250" s="147"/>
      <c r="C250" s="148" t="s">
        <v>16</v>
      </c>
      <c r="D250" s="533" t="s">
        <v>17</v>
      </c>
      <c r="E250" s="534"/>
      <c r="F250" s="534"/>
      <c r="G250" s="534"/>
      <c r="H250" s="149" t="s">
        <v>12</v>
      </c>
      <c r="I250" s="162"/>
      <c r="J250" s="162"/>
      <c r="K250" s="163"/>
      <c r="L250" s="152">
        <f t="shared" ref="L250:N250" ca="1" si="80">L251+L252</f>
        <v>5102100</v>
      </c>
      <c r="M250" s="152">
        <f t="shared" ca="1" si="80"/>
        <v>3826600</v>
      </c>
      <c r="N250" s="152">
        <f t="shared" ca="1" si="80"/>
        <v>2075320.2799999998</v>
      </c>
      <c r="O250" s="151">
        <f t="shared" ref="O250:O252" ca="1" si="81">IF(L250&gt;0,N250*100/L250,0)</f>
        <v>40.675805648654467</v>
      </c>
      <c r="P250" s="151">
        <f t="shared" ref="P250:P254" ca="1" si="82">IF(M250&gt;0,N250*100/M250,0)</f>
        <v>54.234053206501848</v>
      </c>
    </row>
    <row r="251" spans="1:16" ht="21.75" customHeight="1" x14ac:dyDescent="0.4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ca="1" si="83">L253+L257</f>
        <v>1040100</v>
      </c>
      <c r="M251" s="157">
        <f t="shared" ca="1" si="83"/>
        <v>848100</v>
      </c>
      <c r="N251" s="157">
        <f t="shared" ca="1" si="83"/>
        <v>349601.85</v>
      </c>
      <c r="O251" s="156">
        <f t="shared" ca="1" si="81"/>
        <v>33.612330545139891</v>
      </c>
      <c r="P251" s="156">
        <f t="shared" ca="1" si="82"/>
        <v>41.22177219667492</v>
      </c>
    </row>
    <row r="252" spans="1:16" ht="21.75" customHeight="1" x14ac:dyDescent="0.4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4">L254+L258</f>
        <v>4062000</v>
      </c>
      <c r="M252" s="157">
        <f t="shared" ca="1" si="84"/>
        <v>2978500</v>
      </c>
      <c r="N252" s="157">
        <f t="shared" ca="1" si="84"/>
        <v>1725718.43</v>
      </c>
      <c r="O252" s="156">
        <f t="shared" ca="1" si="81"/>
        <v>42.484451747907436</v>
      </c>
      <c r="P252" s="156">
        <f t="shared" ca="1" si="82"/>
        <v>57.939178445526274</v>
      </c>
    </row>
    <row r="253" spans="1:16" ht="21.75" customHeight="1" x14ac:dyDescent="0.4">
      <c r="A253" s="158"/>
      <c r="B253" s="159"/>
      <c r="C253" s="159" t="s">
        <v>16</v>
      </c>
      <c r="D253" s="535" t="s">
        <v>20</v>
      </c>
      <c r="E253" s="532"/>
      <c r="F253" s="532"/>
      <c r="G253" s="160" t="s">
        <v>38</v>
      </c>
      <c r="H253" s="168" t="s">
        <v>12</v>
      </c>
      <c r="I253" s="162" t="s">
        <v>39</v>
      </c>
      <c r="J253" s="162"/>
      <c r="K253" s="163"/>
      <c r="L253" s="164">
        <f ca="1">IFERROR(__xludf.DUMMYFUNCTION("IMPORTRANGE(""https://docs.google.com/spreadsheets/d/1Yj_ptqi66GCucihVvJfMjLAmec39IyEx_6qawtMGysU/edit?usp=sharing"",""สบก!BW15"")"),1040100)</f>
        <v>1040100</v>
      </c>
      <c r="M253" s="164">
        <f ca="1">IFERROR(__xludf.DUMMYFUNCTION("IMPORTRANGE(""https://docs.google.com/spreadsheets/d/1Yj_ptqi66GCucihVvJfMjLAmec39IyEx_6qawtMGysU/edit?usp=sharing"",""สบก!CB15"")"),848100)</f>
        <v>848100</v>
      </c>
      <c r="N253" s="164">
        <f ca="1">IFERROR(__xludf.DUMMYFUNCTION("IMPORTRANGE(""https://docs.google.com/spreadsheets/d/1Yj_ptqi66GCucihVvJfMjLAmec39IyEx_6qawtMGysU/edit?usp=sharing"",""สบก!CC15"")"),349601.85)</f>
        <v>349601.85</v>
      </c>
      <c r="O253" s="165">
        <f ca="1">+IF(L253&gt;0,N253*100/L253,0)</f>
        <v>33.612330545139891</v>
      </c>
      <c r="P253" s="165">
        <f t="shared" ca="1" si="82"/>
        <v>41.22177219667492</v>
      </c>
    </row>
    <row r="254" spans="1:16" ht="21.75" customHeight="1" x14ac:dyDescent="0.3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8" t="s">
        <v>12</v>
      </c>
      <c r="I254" s="162"/>
      <c r="J254" s="162"/>
      <c r="K254" s="163"/>
      <c r="L254" s="164">
        <f ca="1">IFERROR(__xludf.DUMMYFUNCTION("IMPORTRANGE(""https://docs.google.com/spreadsheets/d/1yGy89TWty5kAjAO5OL1fLLQ_DL8fVJHFf2LvMm8qymA/edit?usp=sharing"",""รวมเหนือ!L254"")+IMPORTRANGE(""https://docs.google.com/spreadsheets/d/1bWGR5Y7oTgtZIep2hLdTHG-chM0w9aHBSSpJHwm6lak/edit?usp=sharing"","""&amp;"รวมตะวันออกเฉียงเหนือ!L254"")+IMPORTRANGE(""https://docs.google.com/spreadsheets/d/1dCxWUCc_SKNp-qd8qsaa5pPX_-BuQqWJ_-8FnsS4Ki0/edit?usp=sharing"",""รวมกลาง!L254"")+IMPORTRANGE(""https://docs.google.com/spreadsheets/d/1uOzBKYgpuhMUe0xXQLXSct3xZ80hakAMJHdG"&amp;"Jh9616E/edit?usp=sharing"",""รวมใต้!L254"")"),4062000)</f>
        <v>4062000</v>
      </c>
      <c r="M254" s="164">
        <f ca="1">IFERROR(__xludf.DUMMYFUNCTION("IMPORTRANGE(""https://docs.google.com/spreadsheets/d/1yGy89TWty5kAjAO5OL1fLLQ_DL8fVJHFf2LvMm8qymA/edit?usp=sharing"",""รวมเหนือ!M254"")+IMPORTRANGE(""https://docs.google.com/spreadsheets/d/1bWGR5Y7oTgtZIep2hLdTHG-chM0w9aHBSSpJHwm6lak/edit?usp=sharing"","""&amp;"รวมตะวันออกเฉียงเหนือ!M254"")+IMPORTRANGE(""https://docs.google.com/spreadsheets/d/1dCxWUCc_SKNp-qd8qsaa5pPX_-BuQqWJ_-8FnsS4Ki0/edit?usp=sharing"",""รวมกลาง!M254"")+IMPORTRANGE(""https://docs.google.com/spreadsheets/d/1uOzBKYgpuhMUe0xXQLXSct3xZ80hakAMJHdG"&amp;"Jh9616E/edit?usp=sharing"",""รวมใต้!M254"")"),2978500)</f>
        <v>2978500</v>
      </c>
      <c r="N254" s="165">
        <f ca="1">IFERROR(__xludf.DUMMYFUNCTION("IMPORTRANGE(""https://docs.google.com/spreadsheets/d/1yGy89TWty5kAjAO5OL1fLLQ_DL8fVJHFf2LvMm8qymA/edit?usp=sharing"",""รวมเหนือ!N254"")+IMPORTRANGE(""https://docs.google.com/spreadsheets/d/1bWGR5Y7oTgtZIep2hLdTHG-chM0w9aHBSSpJHwm6lak/edit?usp=sharing"","""&amp;"รวมตะวันออกเฉียงเหนือ!N254"")+IMPORTRANGE(""https://docs.google.com/spreadsheets/d/1dCxWUCc_SKNp-qd8qsaa5pPX_-BuQqWJ_-8FnsS4Ki0/edit?usp=sharing"",""รวมกลาง!N254"")+IMPORTRANGE(""https://docs.google.com/spreadsheets/d/1uOzBKYgpuhMUe0xXQLXSct3xZ80hakAMJHdG"&amp;"Jh9616E/edit?usp=sharing"",""รวมใต้!N254"")"),1725718.43)</f>
        <v>1725718.43</v>
      </c>
      <c r="O254" s="165">
        <f ca="1">IF(L254&gt;0,N254*100/L254,0)</f>
        <v>42.484451747907436</v>
      </c>
      <c r="P254" s="165">
        <f t="shared" ca="1" si="82"/>
        <v>57.939178445526274</v>
      </c>
    </row>
    <row r="255" spans="1:16" ht="21.75" customHeight="1" x14ac:dyDescent="0.4">
      <c r="A255" s="158"/>
      <c r="B255" s="159"/>
      <c r="C255" s="159"/>
      <c r="D255" s="166"/>
      <c r="E255" s="167"/>
      <c r="F255" s="167"/>
      <c r="G255" s="34" t="s">
        <v>21</v>
      </c>
      <c r="H255" s="168" t="s">
        <v>12</v>
      </c>
      <c r="I255" s="162"/>
      <c r="J255" s="162"/>
      <c r="K255" s="163"/>
      <c r="L255" s="164">
        <f ca="1">IFERROR(__xludf.DUMMYFUNCTION("IMPORTRANGE(""https://docs.google.com/spreadsheets/d/1yGy89TWty5kAjAO5OL1fLLQ_DL8fVJHFf2LvMm8qymA/edit?usp=sharing"",""รวมเหนือ!L255"")+IMPORTRANGE(""https://docs.google.com/spreadsheets/d/1bWGR5Y7oTgtZIep2hLdTHG-chM0w9aHBSSpJHwm6lak/edit?usp=sharing"","""&amp;"รวมตะวันออกเฉียงเหนือ!L255"")+IMPORTRANGE(""https://docs.google.com/spreadsheets/d/1dCxWUCc_SKNp-qd8qsaa5pPX_-BuQqWJ_-8FnsS4Ki0/edit?usp=sharing"",""รวมกลาง!L255"")+IMPORTRANGE(""https://docs.google.com/spreadsheets/d/1uOzBKYgpuhMUe0xXQLXSct3xZ80hakAMJHdG"&amp;"Jh9616E/edit?usp=sharing"",""รวมใต้!L255"")"),792000)</f>
        <v>792000</v>
      </c>
      <c r="M255" s="164"/>
      <c r="N255" s="164"/>
      <c r="O255" s="165"/>
      <c r="P255" s="165"/>
    </row>
    <row r="256" spans="1:16" ht="21.75" customHeight="1" x14ac:dyDescent="0.4">
      <c r="A256" s="158"/>
      <c r="B256" s="159"/>
      <c r="C256" s="159"/>
      <c r="D256" s="166"/>
      <c r="E256" s="167"/>
      <c r="F256" s="167"/>
      <c r="G256" s="34" t="s">
        <v>22</v>
      </c>
      <c r="H256" s="168" t="s">
        <v>12</v>
      </c>
      <c r="I256" s="162"/>
      <c r="J256" s="162"/>
      <c r="K256" s="163"/>
      <c r="L256" s="164">
        <f ca="1">IFERROR(__xludf.DUMMYFUNCTION("IMPORTRANGE(""https://docs.google.com/spreadsheets/d/1yGy89TWty5kAjAO5OL1fLLQ_DL8fVJHFf2LvMm8qymA/edit?usp=sharing"",""รวมเหนือ!L256"")+IMPORTRANGE(""https://docs.google.com/spreadsheets/d/1bWGR5Y7oTgtZIep2hLdTHG-chM0w9aHBSSpJHwm6lak/edit?usp=sharing"","""&amp;"รวมตะวันออกเฉียงเหนือ!L256"")+IMPORTRANGE(""https://docs.google.com/spreadsheets/d/1dCxWUCc_SKNp-qd8qsaa5pPX_-BuQqWJ_-8FnsS4Ki0/edit?usp=sharing"",""รวมกลาง!L256"")+IMPORTRANGE(""https://docs.google.com/spreadsheets/d/1uOzBKYgpuhMUe0xXQLXSct3xZ80hakAMJHdG"&amp;"Jh9616E/edit?usp=sharing"",""รวมใต้!L256"")"),3270000)</f>
        <v>3270000</v>
      </c>
      <c r="M256" s="164"/>
      <c r="N256" s="164"/>
      <c r="O256" s="165"/>
      <c r="P256" s="165"/>
    </row>
    <row r="257" spans="1:17" ht="21.75" customHeight="1" x14ac:dyDescent="0.4">
      <c r="A257" s="169"/>
      <c r="B257" s="80"/>
      <c r="C257" s="81" t="s">
        <v>16</v>
      </c>
      <c r="D257" s="531" t="s">
        <v>23</v>
      </c>
      <c r="E257" s="532"/>
      <c r="F257" s="86"/>
      <c r="G257" s="82" t="s">
        <v>18</v>
      </c>
      <c r="H257" s="170" t="s">
        <v>12</v>
      </c>
      <c r="I257" s="162"/>
      <c r="J257" s="162"/>
      <c r="K257" s="163"/>
      <c r="L257" s="41">
        <f ca="1">IFERROR(__xludf.DUMMYFUNCTION("IMPORTRANGE(""https://docs.google.com/spreadsheets/d/1Yj_ptqi66GCucihVvJfMjLAmec39IyEx_6qawtMGysU/edit?usp=sharing"",""สบก!BZ15"")"),0)</f>
        <v>0</v>
      </c>
      <c r="M257" s="41"/>
      <c r="N257" s="41">
        <f ca="1">IFERROR(__xludf.DUMMYFUNCTION("IMPORTRANGE(""https://docs.google.com/spreadsheets/d/1Yj_ptqi66GCucihVvJfMjLAmec39IyEx_6qawtMGysU/edit?usp=sharing"",""สบก!CD15"")"),0)</f>
        <v>0</v>
      </c>
      <c r="O257" s="120"/>
      <c r="P257" s="120"/>
    </row>
    <row r="258" spans="1:17" ht="21.75" customHeight="1" x14ac:dyDescent="0.4">
      <c r="A258" s="171"/>
      <c r="B258" s="89"/>
      <c r="C258" s="89"/>
      <c r="D258" s="172"/>
      <c r="E258" s="90"/>
      <c r="F258" s="90"/>
      <c r="G258" s="91" t="s">
        <v>19</v>
      </c>
      <c r="H258" s="173" t="s">
        <v>12</v>
      </c>
      <c r="I258" s="162"/>
      <c r="J258" s="162"/>
      <c r="K258" s="163"/>
      <c r="L258" s="49">
        <f ca="1">IFERROR(__xludf.DUMMYFUNCTION("IMPORTRANGE(""https://docs.google.com/spreadsheets/d/1yGy89TWty5kAjAO5OL1fLLQ_DL8fVJHFf2LvMm8qymA/edit?usp=sharing"",""รวมเหนือ!L258"")+IMPORTRANGE(""https://docs.google.com/spreadsheets/d/1bWGR5Y7oTgtZIep2hLdTHG-chM0w9aHBSSpJHwm6lak/edit?usp=sharing"","""&amp;"รวมตะวันออกเฉียงเหนือ!L258"")+IMPORTRANGE(""https://docs.google.com/spreadsheets/d/1dCxWUCc_SKNp-qd8qsaa5pPX_-BuQqWJ_-8FnsS4Ki0/edit?usp=sharing"",""รวมกลาง!L258"")+IMPORTRANGE(""https://docs.google.com/spreadsheets/d/1uOzBKYgpuhMUe0xXQLXSct3xZ80hakAMJHdG"&amp;"Jh9616E/edit?usp=sharing"",""รวมใต้!L258"")"),0)</f>
        <v>0</v>
      </c>
      <c r="M258" s="49"/>
      <c r="N258" s="49">
        <f ca="1">IFERROR(__xludf.DUMMYFUNCTION("IMPORTRANGE(""https://docs.google.com/spreadsheets/d/1yGy89TWty5kAjAO5OL1fLLQ_DL8fVJHFf2LvMm8qymA/edit?usp=sharing"",""รวมเหนือ!N258"")+IMPORTRANGE(""https://docs.google.com/spreadsheets/d/1bWGR5Y7oTgtZIep2hLdTHG-chM0w9aHBSSpJHwm6lak/edit?usp=sharing"","""&amp;"รวมตะวันออกเฉียงเหนือ!N258"")+IMPORTRANGE(""https://docs.google.com/spreadsheets/d/1dCxWUCc_SKNp-qd8qsaa5pPX_-BuQqWJ_-8FnsS4Ki0/edit?usp=sharing"",""รวมกลาง!N258"")+IMPORTRANGE(""https://docs.google.com/spreadsheets/d/1uOzBKYgpuhMUe0xXQLXSct3xZ80hakAMJHdG"&amp;"Jh9616E/edit?usp=sharing"",""รวมใต้!N258"")"),0)</f>
        <v>0</v>
      </c>
      <c r="O258" s="121">
        <f ca="1">IF(L258&gt;0,N258*100/L258,0)</f>
        <v>0</v>
      </c>
      <c r="P258" s="121"/>
    </row>
    <row r="259" spans="1:17" ht="21.75" customHeight="1" x14ac:dyDescent="0.3">
      <c r="A259" s="174"/>
      <c r="B259" s="175"/>
      <c r="C259" s="159" t="s">
        <v>16</v>
      </c>
      <c r="D259" s="176" t="s">
        <v>41</v>
      </c>
      <c r="E259" s="177"/>
      <c r="F259" s="177"/>
      <c r="G259" s="178"/>
      <c r="H259" s="179"/>
      <c r="I259" s="162"/>
      <c r="J259" s="162"/>
      <c r="K259" s="163"/>
      <c r="L259" s="180"/>
      <c r="M259" s="180"/>
      <c r="N259" s="180"/>
      <c r="O259" s="180"/>
      <c r="P259" s="180"/>
      <c r="Q259" s="530"/>
    </row>
    <row r="260" spans="1:17" ht="21.75" customHeight="1" x14ac:dyDescent="0.3">
      <c r="A260" s="174"/>
      <c r="B260" s="175"/>
      <c r="C260" s="175"/>
      <c r="D260" s="181">
        <v>1</v>
      </c>
      <c r="E260" s="182" t="s">
        <v>42</v>
      </c>
      <c r="F260" s="183"/>
      <c r="G260" s="184"/>
      <c r="H260" s="185"/>
      <c r="I260" s="186"/>
      <c r="J260" s="187">
        <f ca="1">IFERROR(__xludf.DUMMYFUNCTION("IMPORTRANGE(""https://docs.google.com/spreadsheets/d/1yGy89TWty5kAjAO5OL1fLLQ_DL8fVJHFf2LvMm8qymA/edit?usp=sharing"",""รวมเหนือ!J260"")+IMPORTRANGE(""https://docs.google.com/spreadsheets/d/1bWGR5Y7oTgtZIep2hLdTHG-chM0w9aHBSSpJHwm6lak/edit?usp=sharing"","""&amp;"รวมตะวันออกเฉียงเหนือ!J260"")+IMPORTRANGE(""https://docs.google.com/spreadsheets/d/1dCxWUCc_SKNp-qd8qsaa5pPX_-BuQqWJ_-8FnsS4Ki0/edit?usp=sharing"",""รวมกลาง!J260"")+IMPORTRANGE(""https://docs.google.com/spreadsheets/d/1uOzBKYgpuhMUe0xXQLXSct3xZ80hakAMJHdG"&amp;"Jh9616E/edit?usp=sharing"",""รวมใต้!J260"")"),0)</f>
        <v>0</v>
      </c>
      <c r="K260" s="163"/>
      <c r="L260" s="180"/>
      <c r="M260" s="180"/>
      <c r="N260" s="180"/>
      <c r="O260" s="180"/>
      <c r="P260" s="180"/>
    </row>
    <row r="261" spans="1:17" ht="21.75" customHeight="1" x14ac:dyDescent="0.3">
      <c r="A261" s="174"/>
      <c r="B261" s="175"/>
      <c r="C261" s="175"/>
      <c r="D261" s="188">
        <v>2</v>
      </c>
      <c r="E261" s="189" t="s">
        <v>43</v>
      </c>
      <c r="F261" s="190"/>
      <c r="G261" s="191"/>
      <c r="H261" s="185"/>
      <c r="I261" s="186"/>
      <c r="J261" s="186">
        <f ca="1">IFERROR(__xludf.DUMMYFUNCTION("IMPORTRANGE(""https://docs.google.com/spreadsheets/d/1yGy89TWty5kAjAO5OL1fLLQ_DL8fVJHFf2LvMm8qymA/edit?usp=sharing"",""รวมเหนือ!J261"")+IMPORTRANGE(""https://docs.google.com/spreadsheets/d/1bWGR5Y7oTgtZIep2hLdTHG-chM0w9aHBSSpJHwm6lak/edit?usp=sharing"","""&amp;"รวมตะวันออกเฉียงเหนือ!J261"")+IMPORTRANGE(""https://docs.google.com/spreadsheets/d/1dCxWUCc_SKNp-qd8qsaa5pPX_-BuQqWJ_-8FnsS4Ki0/edit?usp=sharing"",""รวมกลาง!J261"")+IMPORTRANGE(""https://docs.google.com/spreadsheets/d/1uOzBKYgpuhMUe0xXQLXSct3xZ80hakAMJHdG"&amp;"Jh9616E/edit?usp=sharing"",""รวมใต้!J261"")"),30)</f>
        <v>30</v>
      </c>
      <c r="K261" s="163"/>
      <c r="L261" s="180" t="s">
        <v>39</v>
      </c>
      <c r="M261" s="180"/>
      <c r="N261" s="180" t="s">
        <v>39</v>
      </c>
      <c r="O261" s="180"/>
      <c r="P261" s="180"/>
    </row>
    <row r="262" spans="1:17" ht="21.75" customHeight="1" x14ac:dyDescent="0.3">
      <c r="A262" s="174"/>
      <c r="B262" s="175"/>
      <c r="C262" s="175"/>
      <c r="D262" s="192"/>
      <c r="E262" s="193" t="s">
        <v>44</v>
      </c>
      <c r="F262" s="194"/>
      <c r="G262" s="195"/>
      <c r="H262" s="185"/>
      <c r="I262" s="186"/>
      <c r="J262" s="186">
        <f ca="1">IFERROR(__xludf.DUMMYFUNCTION("IMPORTRANGE(""https://docs.google.com/spreadsheets/d/1yGy89TWty5kAjAO5OL1fLLQ_DL8fVJHFf2LvMm8qymA/edit?usp=sharing"",""รวมเหนือ!J262"")+IMPORTRANGE(""https://docs.google.com/spreadsheets/d/1bWGR5Y7oTgtZIep2hLdTHG-chM0w9aHBSSpJHwm6lak/edit?usp=sharing"","""&amp;"รวมตะวันออกเฉียงเหนือ!J262"")+IMPORTRANGE(""https://docs.google.com/spreadsheets/d/1dCxWUCc_SKNp-qd8qsaa5pPX_-BuQqWJ_-8FnsS4Ki0/edit?usp=sharing"",""รวมกลาง!J262"")+IMPORTRANGE(""https://docs.google.com/spreadsheets/d/1uOzBKYgpuhMUe0xXQLXSct3xZ80hakAMJHdG"&amp;"Jh9616E/edit?usp=sharing"",""รวมใต้!J262"")"),29)</f>
        <v>29</v>
      </c>
      <c r="K262" s="163"/>
      <c r="L262" s="180"/>
      <c r="M262" s="180"/>
      <c r="N262" s="180"/>
      <c r="O262" s="180"/>
      <c r="P262" s="180"/>
    </row>
    <row r="263" spans="1:17" ht="21.75" customHeight="1" x14ac:dyDescent="0.3">
      <c r="A263" s="174"/>
      <c r="B263" s="175"/>
      <c r="C263" s="175"/>
      <c r="D263" s="192"/>
      <c r="E263" s="193" t="s">
        <v>45</v>
      </c>
      <c r="F263" s="194"/>
      <c r="G263" s="195"/>
      <c r="H263" s="185"/>
      <c r="I263" s="186"/>
      <c r="J263" s="186">
        <f ca="1">IFERROR(__xludf.DUMMYFUNCTION("IMPORTRANGE(""https://docs.google.com/spreadsheets/d/1yGy89TWty5kAjAO5OL1fLLQ_DL8fVJHFf2LvMm8qymA/edit?usp=sharing"",""รวมเหนือ!J263"")+IMPORTRANGE(""https://docs.google.com/spreadsheets/d/1bWGR5Y7oTgtZIep2hLdTHG-chM0w9aHBSSpJHwm6lak/edit?usp=sharing"","""&amp;"รวมตะวันออกเฉียงเหนือ!J263"")+IMPORTRANGE(""https://docs.google.com/spreadsheets/d/1dCxWUCc_SKNp-qd8qsaa5pPX_-BuQqWJ_-8FnsS4Ki0/edit?usp=sharing"",""รวมกลาง!J263"")+IMPORTRANGE(""https://docs.google.com/spreadsheets/d/1uOzBKYgpuhMUe0xXQLXSct3xZ80hakAMJHdG"&amp;"Jh9616E/edit?usp=sharing"",""รวมใต้!J263"")"),27)</f>
        <v>27</v>
      </c>
      <c r="K263" s="163"/>
      <c r="L263" s="180"/>
      <c r="M263" s="180"/>
      <c r="N263" s="180"/>
      <c r="O263" s="180"/>
      <c r="P263" s="180"/>
    </row>
    <row r="264" spans="1:17" ht="21.75" customHeight="1" x14ac:dyDescent="0.3">
      <c r="A264" s="174"/>
      <c r="B264" s="175"/>
      <c r="C264" s="175"/>
      <c r="D264" s="192"/>
      <c r="E264" s="196"/>
      <c r="F264" s="193" t="s">
        <v>104</v>
      </c>
      <c r="G264" s="195"/>
      <c r="H264" s="179" t="s">
        <v>56</v>
      </c>
      <c r="I264" s="186">
        <f ca="1">IFERROR(__xludf.DUMMYFUNCTION("IMPORTRANGE(""https://docs.google.com/spreadsheets/d/1yGy89TWty5kAjAO5OL1fLLQ_DL8fVJHFf2LvMm8qymA/edit?usp=sharing"",""รวมเหนือ!I264"")+IMPORTRANGE(""https://docs.google.com/spreadsheets/d/1bWGR5Y7oTgtZIep2hLdTHG-chM0w9aHBSSpJHwm6lak/edit?usp=sharing"","""&amp;"รวมตะวันออกเฉียงเหนือ!I264"")+IMPORTRANGE(""https://docs.google.com/spreadsheets/d/1dCxWUCc_SKNp-qd8qsaa5pPX_-BuQqWJ_-8FnsS4Ki0/edit?usp=sharing"",""รวมกลาง!I264"")+IMPORTRANGE(""https://docs.google.com/spreadsheets/d/1uOzBKYgpuhMUe0xXQLXSct3xZ80hakAMJHdG"&amp;"Jh9616E/edit?usp=sharing"",""รวมใต้!I264"")"),30)</f>
        <v>30</v>
      </c>
      <c r="J264" s="187">
        <f ca="1">IFERROR(__xludf.DUMMYFUNCTION("IMPORTRANGE(""https://docs.google.com/spreadsheets/d/1yGy89TWty5kAjAO5OL1fLLQ_DL8fVJHFf2LvMm8qymA/edit?usp=sharing"",""รวมเหนือ!J264"")+IMPORTRANGE(""https://docs.google.com/spreadsheets/d/1bWGR5Y7oTgtZIep2hLdTHG-chM0w9aHBSSpJHwm6lak/edit?usp=sharing"","""&amp;"รวมตะวันออกเฉียงเหนือ!J264"")+IMPORTRANGE(""https://docs.google.com/spreadsheets/d/1dCxWUCc_SKNp-qd8qsaa5pPX_-BuQqWJ_-8FnsS4Ki0/edit?usp=sharing"",""รวมกลาง!J264"")+IMPORTRANGE(""https://docs.google.com/spreadsheets/d/1uOzBKYgpuhMUe0xXQLXSct3xZ80hakAMJHdG"&amp;"Jh9616E/edit?usp=sharing"",""รวมใต้!J264"")"),24)</f>
        <v>24</v>
      </c>
      <c r="K264" s="163">
        <f t="shared" ref="K264:K267" ca="1" si="85">IF(I264&gt;0,J264*100/I264,0)</f>
        <v>80</v>
      </c>
      <c r="L264" s="180"/>
      <c r="M264" s="180"/>
      <c r="N264" s="180"/>
      <c r="O264" s="180"/>
      <c r="P264" s="180"/>
    </row>
    <row r="265" spans="1:17" ht="21.75" customHeight="1" x14ac:dyDescent="0.3">
      <c r="A265" s="174"/>
      <c r="B265" s="175"/>
      <c r="C265" s="175"/>
      <c r="D265" s="192"/>
      <c r="E265" s="196"/>
      <c r="F265" s="193" t="s">
        <v>105</v>
      </c>
      <c r="G265" s="195"/>
      <c r="H265" s="179" t="s">
        <v>37</v>
      </c>
      <c r="I265" s="186">
        <f ca="1">IFERROR(__xludf.DUMMYFUNCTION("IMPORTRANGE(""https://docs.google.com/spreadsheets/d/1yGy89TWty5kAjAO5OL1fLLQ_DL8fVJHFf2LvMm8qymA/edit?usp=sharing"",""รวมเหนือ!I265"")+IMPORTRANGE(""https://docs.google.com/spreadsheets/d/1bWGR5Y7oTgtZIep2hLdTHG-chM0w9aHBSSpJHwm6lak/edit?usp=sharing"","""&amp;"รวมตะวันออกเฉียงเหนือ!I265"")+IMPORTRANGE(""https://docs.google.com/spreadsheets/d/1dCxWUCc_SKNp-qd8qsaa5pPX_-BuQqWJ_-8FnsS4Ki0/edit?usp=sharing"",""รวมกลาง!I265"")+IMPORTRANGE(""https://docs.google.com/spreadsheets/d/1uOzBKYgpuhMUe0xXQLXSct3xZ80hakAMJHdG"&amp;"Jh9616E/edit?usp=sharing"",""รวมใต้!I265"")"),700)</f>
        <v>700</v>
      </c>
      <c r="J265" s="187">
        <f ca="1">IFERROR(__xludf.DUMMYFUNCTION("IMPORTRANGE(""https://docs.google.com/spreadsheets/d/1yGy89TWty5kAjAO5OL1fLLQ_DL8fVJHFf2LvMm8qymA/edit?usp=sharing"",""รวมเหนือ!J265"")+IMPORTRANGE(""https://docs.google.com/spreadsheets/d/1bWGR5Y7oTgtZIep2hLdTHG-chM0w9aHBSSpJHwm6lak/edit?usp=sharing"","""&amp;"รวมตะวันออกเฉียงเหนือ!J265"")+IMPORTRANGE(""https://docs.google.com/spreadsheets/d/1dCxWUCc_SKNp-qd8qsaa5pPX_-BuQqWJ_-8FnsS4Ki0/edit?usp=sharing"",""รวมกลาง!J265"")+IMPORTRANGE(""https://docs.google.com/spreadsheets/d/1uOzBKYgpuhMUe0xXQLXSct3xZ80hakAMJHdG"&amp;"Jh9616E/edit?usp=sharing"",""รวมใต้!J265"")"),688)</f>
        <v>688</v>
      </c>
      <c r="K265" s="163">
        <f t="shared" ca="1" si="85"/>
        <v>98.285714285714292</v>
      </c>
      <c r="L265" s="180"/>
      <c r="M265" s="180"/>
      <c r="N265" s="180"/>
      <c r="O265" s="180"/>
      <c r="P265" s="180"/>
    </row>
    <row r="266" spans="1:17" ht="21.75" customHeight="1" x14ac:dyDescent="0.3">
      <c r="A266" s="174"/>
      <c r="B266" s="175"/>
      <c r="C266" s="175"/>
      <c r="D266" s="192"/>
      <c r="E266" s="196"/>
      <c r="F266" s="193" t="s">
        <v>106</v>
      </c>
      <c r="G266" s="195"/>
      <c r="H266" s="179" t="s">
        <v>37</v>
      </c>
      <c r="I266" s="186">
        <f ca="1">IFERROR(__xludf.DUMMYFUNCTION("IMPORTRANGE(""https://docs.google.com/spreadsheets/d/1yGy89TWty5kAjAO5OL1fLLQ_DL8fVJHFf2LvMm8qymA/edit?usp=sharing"",""รวมเหนือ!I266"")+IMPORTRANGE(""https://docs.google.com/spreadsheets/d/1bWGR5Y7oTgtZIep2hLdTHG-chM0w9aHBSSpJHwm6lak/edit?usp=sharing"","""&amp;"รวมตะวันออกเฉียงเหนือ!I266"")+IMPORTRANGE(""https://docs.google.com/spreadsheets/d/1dCxWUCc_SKNp-qd8qsaa5pPX_-BuQqWJ_-8FnsS4Ki0/edit?usp=sharing"",""รวมกลาง!I266"")+IMPORTRANGE(""https://docs.google.com/spreadsheets/d/1uOzBKYgpuhMUe0xXQLXSct3xZ80hakAMJHdG"&amp;"Jh9616E/edit?usp=sharing"",""รวมใต้!I266"")"),700)</f>
        <v>700</v>
      </c>
      <c r="J266" s="187">
        <f ca="1">IFERROR(__xludf.DUMMYFUNCTION("IMPORTRANGE(""https://docs.google.com/spreadsheets/d/1yGy89TWty5kAjAO5OL1fLLQ_DL8fVJHFf2LvMm8qymA/edit?usp=sharing"",""รวมเหนือ!J266"")+IMPORTRANGE(""https://docs.google.com/spreadsheets/d/1bWGR5Y7oTgtZIep2hLdTHG-chM0w9aHBSSpJHwm6lak/edit?usp=sharing"","""&amp;"รวมตะวันออกเฉียงเหนือ!J266"")+IMPORTRANGE(""https://docs.google.com/spreadsheets/d/1dCxWUCc_SKNp-qd8qsaa5pPX_-BuQqWJ_-8FnsS4Ki0/edit?usp=sharing"",""รวมกลาง!J266"")+IMPORTRANGE(""https://docs.google.com/spreadsheets/d/1uOzBKYgpuhMUe0xXQLXSct3xZ80hakAMJHdG"&amp;"Jh9616E/edit?usp=sharing"",""รวมใต้!J266"")"),25)</f>
        <v>25</v>
      </c>
      <c r="K266" s="163">
        <f t="shared" ca="1" si="85"/>
        <v>3.5714285714285716</v>
      </c>
      <c r="L266" s="180"/>
      <c r="M266" s="180"/>
      <c r="N266" s="180"/>
      <c r="O266" s="180"/>
      <c r="P266" s="180"/>
    </row>
    <row r="267" spans="1:17" ht="21.75" customHeight="1" x14ac:dyDescent="0.3">
      <c r="A267" s="174"/>
      <c r="B267" s="175"/>
      <c r="C267" s="175"/>
      <c r="D267" s="192"/>
      <c r="E267" s="196"/>
      <c r="F267" s="193" t="s">
        <v>107</v>
      </c>
      <c r="G267" s="195"/>
      <c r="H267" s="179" t="s">
        <v>37</v>
      </c>
      <c r="I267" s="186">
        <f ca="1">IFERROR(__xludf.DUMMYFUNCTION("IMPORTRANGE(""https://docs.google.com/spreadsheets/d/1yGy89TWty5kAjAO5OL1fLLQ_DL8fVJHFf2LvMm8qymA/edit?usp=sharing"",""รวมเหนือ!I267"")+IMPORTRANGE(""https://docs.google.com/spreadsheets/d/1bWGR5Y7oTgtZIep2hLdTHG-chM0w9aHBSSpJHwm6lak/edit?usp=sharing"","""&amp;"รวมตะวันออกเฉียงเหนือ!I267"")+IMPORTRANGE(""https://docs.google.com/spreadsheets/d/1dCxWUCc_SKNp-qd8qsaa5pPX_-BuQqWJ_-8FnsS4Ki0/edit?usp=sharing"",""รวมกลาง!I267"")+IMPORTRANGE(""https://docs.google.com/spreadsheets/d/1uOzBKYgpuhMUe0xXQLXSct3xZ80hakAMJHdG"&amp;"Jh9616E/edit?usp=sharing"",""รวมใต้!I267"")"),30)</f>
        <v>30</v>
      </c>
      <c r="J267" s="187">
        <f ca="1">IFERROR(__xludf.DUMMYFUNCTION("IMPORTRANGE(""https://docs.google.com/spreadsheets/d/1yGy89TWty5kAjAO5OL1fLLQ_DL8fVJHFf2LvMm8qymA/edit?usp=sharing"",""รวมเหนือ!J267"")+IMPORTRANGE(""https://docs.google.com/spreadsheets/d/1bWGR5Y7oTgtZIep2hLdTHG-chM0w9aHBSSpJHwm6lak/edit?usp=sharing"","""&amp;"รวมตะวันออกเฉียงเหนือ!J267"")+IMPORTRANGE(""https://docs.google.com/spreadsheets/d/1dCxWUCc_SKNp-qd8qsaa5pPX_-BuQqWJ_-8FnsS4Ki0/edit?usp=sharing"",""รวมกลาง!J267"")+IMPORTRANGE(""https://docs.google.com/spreadsheets/d/1uOzBKYgpuhMUe0xXQLXSct3xZ80hakAMJHdG"&amp;"Jh9616E/edit?usp=sharing"",""รวมใต้!J267"")"),22)</f>
        <v>22</v>
      </c>
      <c r="K267" s="163">
        <f t="shared" ca="1" si="85"/>
        <v>73.333333333333329</v>
      </c>
      <c r="L267" s="180"/>
      <c r="M267" s="180"/>
      <c r="N267" s="180"/>
      <c r="O267" s="180"/>
      <c r="P267" s="180"/>
    </row>
    <row r="268" spans="1:17" ht="21.75" customHeight="1" x14ac:dyDescent="0.3">
      <c r="A268" s="174"/>
      <c r="B268" s="175"/>
      <c r="C268" s="175"/>
      <c r="D268" s="192"/>
      <c r="E268" s="193" t="s">
        <v>51</v>
      </c>
      <c r="F268" s="194"/>
      <c r="G268" s="195"/>
      <c r="H268" s="185"/>
      <c r="I268" s="186"/>
      <c r="J268" s="186">
        <f ca="1">IFERROR(__xludf.DUMMYFUNCTION("IMPORTRANGE(""https://docs.google.com/spreadsheets/d/1yGy89TWty5kAjAO5OL1fLLQ_DL8fVJHFf2LvMm8qymA/edit?usp=sharing"",""รวมเหนือ!J268"")+IMPORTRANGE(""https://docs.google.com/spreadsheets/d/1bWGR5Y7oTgtZIep2hLdTHG-chM0w9aHBSSpJHwm6lak/edit?usp=sharing"","""&amp;"รวมตะวันออกเฉียงเหนือ!J268"")+IMPORTRANGE(""https://docs.google.com/spreadsheets/d/1dCxWUCc_SKNp-qd8qsaa5pPX_-BuQqWJ_-8FnsS4Ki0/edit?usp=sharing"",""รวมกลาง!J268"")+IMPORTRANGE(""https://docs.google.com/spreadsheets/d/1uOzBKYgpuhMUe0xXQLXSct3xZ80hakAMJHdG"&amp;"Jh9616E/edit?usp=sharing"",""รวมใต้!J268"")"),1)</f>
        <v>1</v>
      </c>
      <c r="K268" s="163"/>
      <c r="L268" s="180"/>
      <c r="M268" s="180"/>
      <c r="N268" s="180"/>
      <c r="O268" s="180"/>
      <c r="P268" s="180"/>
    </row>
    <row r="269" spans="1:17" ht="21.75" customHeight="1" x14ac:dyDescent="0.3">
      <c r="A269" s="230"/>
      <c r="B269" s="231"/>
      <c r="C269" s="231"/>
      <c r="D269" s="232">
        <v>3</v>
      </c>
      <c r="E269" s="233" t="s">
        <v>52</v>
      </c>
      <c r="F269" s="234"/>
      <c r="G269" s="235"/>
      <c r="H269" s="236"/>
      <c r="I269" s="237"/>
      <c r="J269" s="238">
        <f ca="1">IFERROR(__xludf.DUMMYFUNCTION("IMPORTRANGE(""https://docs.google.com/spreadsheets/d/1yGy89TWty5kAjAO5OL1fLLQ_DL8fVJHFf2LvMm8qymA/edit?usp=sharing"",""รวมเหนือ!J269"")+IMPORTRANGE(""https://docs.google.com/spreadsheets/d/1bWGR5Y7oTgtZIep2hLdTHG-chM0w9aHBSSpJHwm6lak/edit?usp=sharing"","""&amp;"รวมตะวันออกเฉียงเหนือ!J269"")+IMPORTRANGE(""https://docs.google.com/spreadsheets/d/1dCxWUCc_SKNp-qd8qsaa5pPX_-BuQqWJ_-8FnsS4Ki0/edit?usp=sharing"",""รวมกลาง!J269"")+IMPORTRANGE(""https://docs.google.com/spreadsheets/d/1uOzBKYgpuhMUe0xXQLXSct3xZ80hakAMJHdG"&amp;"Jh9616E/edit?usp=sharing"",""รวมใต้!J269"")"),0)</f>
        <v>0</v>
      </c>
      <c r="K269" s="286"/>
      <c r="L269" s="241"/>
      <c r="M269" s="241"/>
      <c r="N269" s="241"/>
      <c r="O269" s="241"/>
      <c r="P269" s="241"/>
    </row>
    <row r="270" spans="1:17" ht="21.75" customHeight="1" x14ac:dyDescent="0.3">
      <c r="A270" s="311"/>
      <c r="B270" s="312" t="s">
        <v>108</v>
      </c>
      <c r="C270" s="312"/>
      <c r="D270" s="312"/>
      <c r="E270" s="312"/>
      <c r="F270" s="312"/>
      <c r="G270" s="313"/>
      <c r="H270" s="314" t="s">
        <v>37</v>
      </c>
      <c r="I270" s="315">
        <f ca="1">IFERROR(__xludf.DUMMYFUNCTION("IMPORTRANGE(""https://docs.google.com/spreadsheets/d/1yGy89TWty5kAjAO5OL1fLLQ_DL8fVJHFf2LvMm8qymA/edit?usp=sharing"",""รวมเหนือ!I270"")+IMPORTRANGE(""https://docs.google.com/spreadsheets/d/1bWGR5Y7oTgtZIep2hLdTHG-chM0w9aHBSSpJHwm6lak/edit?usp=sharing"","""&amp;"รวมตะวันออกเฉียงเหนือ!I270"")+IMPORTRANGE(""https://docs.google.com/spreadsheets/d/1dCxWUCc_SKNp-qd8qsaa5pPX_-BuQqWJ_-8FnsS4Ki0/edit?usp=sharing"",""รวมกลาง!I270"")+IMPORTRANGE(""https://docs.google.com/spreadsheets/d/1uOzBKYgpuhMUe0xXQLXSct3xZ80hakAMJHdG"&amp;"Jh9616E/edit?usp=sharing"",""รวมใต้!I270"")"),800)</f>
        <v>800</v>
      </c>
      <c r="J270" s="315">
        <f ca="1">IFERROR(__xludf.DUMMYFUNCTION("IMPORTRANGE(""https://docs.google.com/spreadsheets/d/1yGy89TWty5kAjAO5OL1fLLQ_DL8fVJHFf2LvMm8qymA/edit?usp=sharing"",""รวมเหนือ!J270"")+IMPORTRANGE(""https://docs.google.com/spreadsheets/d/1bWGR5Y7oTgtZIep2hLdTHG-chM0w9aHBSSpJHwm6lak/edit?usp=sharing"","""&amp;"รวมตะวันออกเฉียงเหนือ!J270"")+IMPORTRANGE(""https://docs.google.com/spreadsheets/d/1dCxWUCc_SKNp-qd8qsaa5pPX_-BuQqWJ_-8FnsS4Ki0/edit?usp=sharing"",""รวมกลาง!J270"")+IMPORTRANGE(""https://docs.google.com/spreadsheets/d/1uOzBKYgpuhMUe0xXQLXSct3xZ80hakAMJHdG"&amp;"Jh9616E/edit?usp=sharing"",""รวมใต้!J270"")"),800)</f>
        <v>800</v>
      </c>
      <c r="K270" s="316">
        <f ca="1">IF(I270&gt;0,J270*100/I270,0)</f>
        <v>100</v>
      </c>
      <c r="L270" s="317"/>
      <c r="M270" s="317"/>
      <c r="N270" s="317"/>
      <c r="O270" s="316"/>
      <c r="P270" s="316"/>
    </row>
    <row r="271" spans="1:17" ht="21.75" customHeight="1" x14ac:dyDescent="0.4">
      <c r="A271" s="146"/>
      <c r="B271" s="147"/>
      <c r="C271" s="148" t="s">
        <v>16</v>
      </c>
      <c r="D271" s="533" t="s">
        <v>17</v>
      </c>
      <c r="E271" s="534"/>
      <c r="F271" s="534"/>
      <c r="G271" s="534"/>
      <c r="H271" s="149" t="s">
        <v>12</v>
      </c>
      <c r="I271" s="162"/>
      <c r="J271" s="162"/>
      <c r="K271" s="163"/>
      <c r="L271" s="152">
        <f t="shared" ref="L271:N271" ca="1" si="86">L272+L273</f>
        <v>8336100</v>
      </c>
      <c r="M271" s="152">
        <f t="shared" ca="1" si="86"/>
        <v>6252000</v>
      </c>
      <c r="N271" s="152">
        <f t="shared" ca="1" si="86"/>
        <v>3649546.8099999996</v>
      </c>
      <c r="O271" s="151">
        <f t="shared" ref="O271:O273" ca="1" si="87">IF(L271&gt;0,N271*100/L271,0)</f>
        <v>43.780026751118619</v>
      </c>
      <c r="P271" s="151">
        <f t="shared" ref="P271:P275" ca="1" si="88">IF(M271&gt;0,N271*100/M271,0)</f>
        <v>58.374069257837483</v>
      </c>
    </row>
    <row r="272" spans="1:17" ht="21.75" customHeight="1" x14ac:dyDescent="0.4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ca="1" si="89">L274+L278</f>
        <v>1383900</v>
      </c>
      <c r="M272" s="157">
        <f t="shared" ca="1" si="89"/>
        <v>1036900</v>
      </c>
      <c r="N272" s="157">
        <f t="shared" ca="1" si="89"/>
        <v>506086.8</v>
      </c>
      <c r="O272" s="156">
        <f t="shared" ca="1" si="87"/>
        <v>36.569607630609148</v>
      </c>
      <c r="P272" s="156">
        <f t="shared" ca="1" si="88"/>
        <v>48.807676728710582</v>
      </c>
    </row>
    <row r="273" spans="1:16" ht="21.75" customHeight="1" x14ac:dyDescent="0.4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90">L275+L279</f>
        <v>6952200</v>
      </c>
      <c r="M273" s="157">
        <f t="shared" ca="1" si="90"/>
        <v>5215100</v>
      </c>
      <c r="N273" s="157">
        <f t="shared" ca="1" si="90"/>
        <v>3143460.01</v>
      </c>
      <c r="O273" s="156">
        <f t="shared" ca="1" si="87"/>
        <v>45.215327666062542</v>
      </c>
      <c r="P273" s="156">
        <f t="shared" ca="1" si="88"/>
        <v>60.276121455005658</v>
      </c>
    </row>
    <row r="274" spans="1:16" ht="21.75" customHeight="1" x14ac:dyDescent="0.4">
      <c r="A274" s="158"/>
      <c r="B274" s="159"/>
      <c r="C274" s="159" t="s">
        <v>16</v>
      </c>
      <c r="D274" s="535" t="s">
        <v>20</v>
      </c>
      <c r="E274" s="532"/>
      <c r="F274" s="532"/>
      <c r="G274" s="160" t="s">
        <v>38</v>
      </c>
      <c r="H274" s="168" t="s">
        <v>12</v>
      </c>
      <c r="I274" s="162" t="s">
        <v>39</v>
      </c>
      <c r="J274" s="162"/>
      <c r="K274" s="163"/>
      <c r="L274" s="164">
        <f ca="1">IFERROR(__xludf.DUMMYFUNCTION("IMPORTRANGE(""https://docs.google.com/spreadsheets/d/1Yj_ptqi66GCucihVvJfMjLAmec39IyEx_6qawtMGysU/edit?usp=sharing"",""สบก!CF15"")"),1383900)</f>
        <v>1383900</v>
      </c>
      <c r="M274" s="164">
        <f ca="1">IFERROR(__xludf.DUMMYFUNCTION("IMPORTRANGE(""https://docs.google.com/spreadsheets/d/1Yj_ptqi66GCucihVvJfMjLAmec39IyEx_6qawtMGysU/edit?usp=sharing"",""สบก!CK15"")"),1036900)</f>
        <v>1036900</v>
      </c>
      <c r="N274" s="164">
        <f ca="1">IFERROR(__xludf.DUMMYFUNCTION("IMPORTRANGE(""https://docs.google.com/spreadsheets/d/1Yj_ptqi66GCucihVvJfMjLAmec39IyEx_6qawtMGysU/edit?usp=sharing"",""สบก!CL15"")"),506086.8)</f>
        <v>506086.8</v>
      </c>
      <c r="O274" s="165">
        <f ca="1">+IF(L274&gt;0,N274*100/L274,0)</f>
        <v>36.569607630609148</v>
      </c>
      <c r="P274" s="165">
        <f t="shared" ca="1" si="88"/>
        <v>48.807676728710582</v>
      </c>
    </row>
    <row r="275" spans="1:16" ht="21.75" customHeight="1" x14ac:dyDescent="0.3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8" t="s">
        <v>12</v>
      </c>
      <c r="I275" s="162"/>
      <c r="J275" s="162"/>
      <c r="K275" s="163"/>
      <c r="L275" s="164">
        <f ca="1">IFERROR(__xludf.DUMMYFUNCTION("IMPORTRANGE(""https://docs.google.com/spreadsheets/d/1yGy89TWty5kAjAO5OL1fLLQ_DL8fVJHFf2LvMm8qymA/edit?usp=sharing"",""รวมเหนือ!L275"")+IMPORTRANGE(""https://docs.google.com/spreadsheets/d/1bWGR5Y7oTgtZIep2hLdTHG-chM0w9aHBSSpJHwm6lak/edit?usp=sharing"","""&amp;"รวมตะวันออกเฉียงเหนือ!L275"")+IMPORTRANGE(""https://docs.google.com/spreadsheets/d/1dCxWUCc_SKNp-qd8qsaa5pPX_-BuQqWJ_-8FnsS4Ki0/edit?usp=sharing"",""รวมกลาง!L275"")+IMPORTRANGE(""https://docs.google.com/spreadsheets/d/1uOzBKYgpuhMUe0xXQLXSct3xZ80hakAMJHdG"&amp;"Jh9616E/edit?usp=sharing"",""รวมใต้!L275"")"),6952200)</f>
        <v>6952200</v>
      </c>
      <c r="M275" s="164">
        <f ca="1">IFERROR(__xludf.DUMMYFUNCTION("IMPORTRANGE(""https://docs.google.com/spreadsheets/d/1yGy89TWty5kAjAO5OL1fLLQ_DL8fVJHFf2LvMm8qymA/edit?usp=sharing"",""รวมเหนือ!M275"")+IMPORTRANGE(""https://docs.google.com/spreadsheets/d/1bWGR5Y7oTgtZIep2hLdTHG-chM0w9aHBSSpJHwm6lak/edit?usp=sharing"","""&amp;"รวมตะวันออกเฉียงเหนือ!M275"")+IMPORTRANGE(""https://docs.google.com/spreadsheets/d/1dCxWUCc_SKNp-qd8qsaa5pPX_-BuQqWJ_-8FnsS4Ki0/edit?usp=sharing"",""รวมกลาง!M275"")+IMPORTRANGE(""https://docs.google.com/spreadsheets/d/1uOzBKYgpuhMUe0xXQLXSct3xZ80hakAMJHdG"&amp;"Jh9616E/edit?usp=sharing"",""รวมใต้!M275"")"),5215100)</f>
        <v>5215100</v>
      </c>
      <c r="N275" s="165">
        <f ca="1">IFERROR(__xludf.DUMMYFUNCTION("IMPORTRANGE(""https://docs.google.com/spreadsheets/d/1yGy89TWty5kAjAO5OL1fLLQ_DL8fVJHFf2LvMm8qymA/edit?usp=sharing"",""รวมเหนือ!N275"")+IMPORTRANGE(""https://docs.google.com/spreadsheets/d/1bWGR5Y7oTgtZIep2hLdTHG-chM0w9aHBSSpJHwm6lak/edit?usp=sharing"","""&amp;"รวมตะวันออกเฉียงเหนือ!N275"")+IMPORTRANGE(""https://docs.google.com/spreadsheets/d/1dCxWUCc_SKNp-qd8qsaa5pPX_-BuQqWJ_-8FnsS4Ki0/edit?usp=sharing"",""รวมกลาง!N275"")+IMPORTRANGE(""https://docs.google.com/spreadsheets/d/1uOzBKYgpuhMUe0xXQLXSct3xZ80hakAMJHdG"&amp;"Jh9616E/edit?usp=sharing"",""รวมใต้!N275"")"),3143460.01)</f>
        <v>3143460.01</v>
      </c>
      <c r="O275" s="165">
        <f ca="1">IF(L275&gt;0,N275*100/L275,0)</f>
        <v>45.215327666062542</v>
      </c>
      <c r="P275" s="165">
        <f t="shared" ca="1" si="88"/>
        <v>60.276121455005658</v>
      </c>
    </row>
    <row r="276" spans="1:16" ht="21.75" customHeight="1" x14ac:dyDescent="0.4">
      <c r="A276" s="158"/>
      <c r="B276" s="159"/>
      <c r="C276" s="159"/>
      <c r="D276" s="166"/>
      <c r="E276" s="167"/>
      <c r="F276" s="167"/>
      <c r="G276" s="34" t="s">
        <v>21</v>
      </c>
      <c r="H276" s="168" t="s">
        <v>12</v>
      </c>
      <c r="I276" s="162"/>
      <c r="J276" s="162"/>
      <c r="K276" s="163"/>
      <c r="L276" s="164">
        <f ca="1">IFERROR(__xludf.DUMMYFUNCTION("IMPORTRANGE(""https://docs.google.com/spreadsheets/d/1yGy89TWty5kAjAO5OL1fLLQ_DL8fVJHFf2LvMm8qymA/edit?usp=sharing"",""รวมเหนือ!L276"")+IMPORTRANGE(""https://docs.google.com/spreadsheets/d/1bWGR5Y7oTgtZIep2hLdTHG-chM0w9aHBSSpJHwm6lak/edit?usp=sharing"","""&amp;"รวมตะวันออกเฉียงเหนือ!L276"")+IMPORTRANGE(""https://docs.google.com/spreadsheets/d/1dCxWUCc_SKNp-qd8qsaa5pPX_-BuQqWJ_-8FnsS4Ki0/edit?usp=sharing"",""รวมกลาง!L276"")+IMPORTRANGE(""https://docs.google.com/spreadsheets/d/1uOzBKYgpuhMUe0xXQLXSct3xZ80hakAMJHdG"&amp;"Jh9616E/edit?usp=sharing"",""รวมใต้!L276"")"),2376000)</f>
        <v>2376000</v>
      </c>
      <c r="M276" s="164"/>
      <c r="N276" s="164"/>
      <c r="O276" s="165"/>
      <c r="P276" s="165"/>
    </row>
    <row r="277" spans="1:16" ht="21.75" customHeight="1" x14ac:dyDescent="0.4">
      <c r="A277" s="158"/>
      <c r="B277" s="159"/>
      <c r="C277" s="159"/>
      <c r="D277" s="166"/>
      <c r="E277" s="167"/>
      <c r="F277" s="167"/>
      <c r="G277" s="34" t="s">
        <v>22</v>
      </c>
      <c r="H277" s="168" t="s">
        <v>12</v>
      </c>
      <c r="I277" s="162"/>
      <c r="J277" s="162"/>
      <c r="K277" s="163"/>
      <c r="L277" s="164">
        <f ca="1">IFERROR(__xludf.DUMMYFUNCTION("IMPORTRANGE(""https://docs.google.com/spreadsheets/d/1yGy89TWty5kAjAO5OL1fLLQ_DL8fVJHFf2LvMm8qymA/edit?usp=sharing"",""รวมเหนือ!L277"")+IMPORTRANGE(""https://docs.google.com/spreadsheets/d/1bWGR5Y7oTgtZIep2hLdTHG-chM0w9aHBSSpJHwm6lak/edit?usp=sharing"","""&amp;"รวมตะวันออกเฉียงเหนือ!L277"")+IMPORTRANGE(""https://docs.google.com/spreadsheets/d/1dCxWUCc_SKNp-qd8qsaa5pPX_-BuQqWJ_-8FnsS4Ki0/edit?usp=sharing"",""รวมกลาง!L277"")+IMPORTRANGE(""https://docs.google.com/spreadsheets/d/1uOzBKYgpuhMUe0xXQLXSct3xZ80hakAMJHdG"&amp;"Jh9616E/edit?usp=sharing"",""รวมใต้!L277"")"),4576200)</f>
        <v>4576200</v>
      </c>
      <c r="M277" s="164"/>
      <c r="N277" s="164"/>
      <c r="O277" s="165"/>
      <c r="P277" s="165"/>
    </row>
    <row r="278" spans="1:16" ht="21.75" customHeight="1" x14ac:dyDescent="0.4">
      <c r="A278" s="169"/>
      <c r="B278" s="80"/>
      <c r="C278" s="81" t="s">
        <v>16</v>
      </c>
      <c r="D278" s="531" t="s">
        <v>23</v>
      </c>
      <c r="E278" s="532"/>
      <c r="F278" s="86"/>
      <c r="G278" s="82" t="s">
        <v>18</v>
      </c>
      <c r="H278" s="170" t="s">
        <v>12</v>
      </c>
      <c r="I278" s="162"/>
      <c r="J278" s="162"/>
      <c r="K278" s="163"/>
      <c r="L278" s="41">
        <f ca="1">IFERROR(__xludf.DUMMYFUNCTION("IMPORTRANGE(""https://docs.google.com/spreadsheets/d/1Yj_ptqi66GCucihVvJfMjLAmec39IyEx_6qawtMGysU/edit?usp=sharing"",""สบก!CI15"")"),0)</f>
        <v>0</v>
      </c>
      <c r="M278" s="41"/>
      <c r="N278" s="41">
        <f ca="1">IFERROR(__xludf.DUMMYFUNCTION("IMPORTRANGE(""https://docs.google.com/spreadsheets/d/1Yj_ptqi66GCucihVvJfMjLAmec39IyEx_6qawtMGysU/edit?usp=sharing"",""สบก!CM15"")"),0)</f>
        <v>0</v>
      </c>
      <c r="O278" s="120"/>
      <c r="P278" s="120"/>
    </row>
    <row r="279" spans="1:16" ht="21.75" customHeight="1" x14ac:dyDescent="0.4">
      <c r="A279" s="171"/>
      <c r="B279" s="89"/>
      <c r="C279" s="89"/>
      <c r="D279" s="172"/>
      <c r="E279" s="90"/>
      <c r="F279" s="90"/>
      <c r="G279" s="91" t="s">
        <v>19</v>
      </c>
      <c r="H279" s="173" t="s">
        <v>12</v>
      </c>
      <c r="I279" s="162"/>
      <c r="J279" s="162"/>
      <c r="K279" s="163"/>
      <c r="L279" s="49">
        <f ca="1">IFERROR(__xludf.DUMMYFUNCTION("IMPORTRANGE(""https://docs.google.com/spreadsheets/d/1yGy89TWty5kAjAO5OL1fLLQ_DL8fVJHFf2LvMm8qymA/edit?usp=sharing"",""รวมเหนือ!L279"")+IMPORTRANGE(""https://docs.google.com/spreadsheets/d/1bWGR5Y7oTgtZIep2hLdTHG-chM0w9aHBSSpJHwm6lak/edit?usp=sharing"","""&amp;"รวมตะวันออกเฉียงเหนือ!L279"")+IMPORTRANGE(""https://docs.google.com/spreadsheets/d/1dCxWUCc_SKNp-qd8qsaa5pPX_-BuQqWJ_-8FnsS4Ki0/edit?usp=sharing"",""รวมกลาง!L279"")+IMPORTRANGE(""https://docs.google.com/spreadsheets/d/1uOzBKYgpuhMUe0xXQLXSct3xZ80hakAMJHdG"&amp;"Jh9616E/edit?usp=sharing"",""รวมใต้!L279"")"),0)</f>
        <v>0</v>
      </c>
      <c r="M279" s="49"/>
      <c r="N279" s="49">
        <f ca="1">IFERROR(__xludf.DUMMYFUNCTION("IMPORTRANGE(""https://docs.google.com/spreadsheets/d/1yGy89TWty5kAjAO5OL1fLLQ_DL8fVJHFf2LvMm8qymA/edit?usp=sharing"",""รวมเหนือ!N279"")+IMPORTRANGE(""https://docs.google.com/spreadsheets/d/1bWGR5Y7oTgtZIep2hLdTHG-chM0w9aHBSSpJHwm6lak/edit?usp=sharing"","""&amp;"รวมตะวันออกเฉียงเหนือ!N279"")+IMPORTRANGE(""https://docs.google.com/spreadsheets/d/1dCxWUCc_SKNp-qd8qsaa5pPX_-BuQqWJ_-8FnsS4Ki0/edit?usp=sharing"",""รวมกลาง!N279"")+IMPORTRANGE(""https://docs.google.com/spreadsheets/d/1uOzBKYgpuhMUe0xXQLXSct3xZ80hakAMJHdG"&amp;"Jh9616E/edit?usp=sharing"",""รวมใต้!N279"")"),0)</f>
        <v>0</v>
      </c>
      <c r="O279" s="121">
        <f ca="1">IF(L279&gt;0,N279*100/L279,0)</f>
        <v>0</v>
      </c>
      <c r="P279" s="121"/>
    </row>
    <row r="280" spans="1:16" ht="21.75" customHeight="1" x14ac:dyDescent="0.3">
      <c r="A280" s="174"/>
      <c r="B280" s="175"/>
      <c r="C280" s="159" t="s">
        <v>16</v>
      </c>
      <c r="D280" s="176" t="s">
        <v>41</v>
      </c>
      <c r="E280" s="177"/>
      <c r="F280" s="177"/>
      <c r="G280" s="178"/>
      <c r="H280" s="179"/>
      <c r="I280" s="162"/>
      <c r="J280" s="162"/>
      <c r="K280" s="163"/>
      <c r="L280" s="180"/>
      <c r="M280" s="180"/>
      <c r="N280" s="180"/>
      <c r="O280" s="180"/>
      <c r="P280" s="180"/>
    </row>
    <row r="281" spans="1:16" ht="21.75" customHeight="1" x14ac:dyDescent="0.3">
      <c r="A281" s="174"/>
      <c r="B281" s="175"/>
      <c r="C281" s="175"/>
      <c r="D281" s="181">
        <v>1</v>
      </c>
      <c r="E281" s="182" t="s">
        <v>42</v>
      </c>
      <c r="F281" s="183"/>
      <c r="G281" s="184"/>
      <c r="H281" s="185"/>
      <c r="I281" s="186"/>
      <c r="J281" s="187">
        <f ca="1">IFERROR(__xludf.DUMMYFUNCTION("IMPORTRANGE(""https://docs.google.com/spreadsheets/d/1yGy89TWty5kAjAO5OL1fLLQ_DL8fVJHFf2LvMm8qymA/edit?usp=sharing"",""รวมเหนือ!J281"")+IMPORTRANGE(""https://docs.google.com/spreadsheets/d/1bWGR5Y7oTgtZIep2hLdTHG-chM0w9aHBSSpJHwm6lak/edit?usp=sharing"","""&amp;"รวมตะวันออกเฉียงเหนือ!J281"")+IMPORTRANGE(""https://docs.google.com/spreadsheets/d/1dCxWUCc_SKNp-qd8qsaa5pPX_-BuQqWJ_-8FnsS4Ki0/edit?usp=sharing"",""รวมกลาง!J281"")+IMPORTRANGE(""https://docs.google.com/spreadsheets/d/1uOzBKYgpuhMUe0xXQLXSct3xZ80hakAMJHdG"&amp;"Jh9616E/edit?usp=sharing"",""รวมใต้!J281"")"),0)</f>
        <v>0</v>
      </c>
      <c r="K281" s="163"/>
      <c r="L281" s="180"/>
      <c r="M281" s="180"/>
      <c r="N281" s="180"/>
      <c r="O281" s="180"/>
      <c r="P281" s="180"/>
    </row>
    <row r="282" spans="1:16" ht="21.75" customHeight="1" x14ac:dyDescent="0.3">
      <c r="A282" s="174"/>
      <c r="B282" s="175"/>
      <c r="C282" s="175"/>
      <c r="D282" s="188">
        <v>2</v>
      </c>
      <c r="E282" s="189" t="s">
        <v>43</v>
      </c>
      <c r="F282" s="190"/>
      <c r="G282" s="191"/>
      <c r="H282" s="185"/>
      <c r="I282" s="186"/>
      <c r="J282" s="186">
        <f ca="1">IFERROR(__xludf.DUMMYFUNCTION("IMPORTRANGE(""https://docs.google.com/spreadsheets/d/1yGy89TWty5kAjAO5OL1fLLQ_DL8fVJHFf2LvMm8qymA/edit?usp=sharing"",""รวมเหนือ!J282"")+IMPORTRANGE(""https://docs.google.com/spreadsheets/d/1bWGR5Y7oTgtZIep2hLdTHG-chM0w9aHBSSpJHwm6lak/edit?usp=sharing"","""&amp;"รวมตะวันออกเฉียงเหนือ!J282"")+IMPORTRANGE(""https://docs.google.com/spreadsheets/d/1dCxWUCc_SKNp-qd8qsaa5pPX_-BuQqWJ_-8FnsS4Ki0/edit?usp=sharing"",""รวมกลาง!J282"")+IMPORTRANGE(""https://docs.google.com/spreadsheets/d/1uOzBKYgpuhMUe0xXQLXSct3xZ80hakAMJHdG"&amp;"Jh9616E/edit?usp=sharing"",""รวมใต้!J282"")"),48)</f>
        <v>48</v>
      </c>
      <c r="K282" s="163"/>
      <c r="L282" s="180"/>
      <c r="M282" s="180"/>
      <c r="N282" s="180"/>
      <c r="O282" s="180"/>
      <c r="P282" s="180"/>
    </row>
    <row r="283" spans="1:16" ht="21.75" customHeight="1" x14ac:dyDescent="0.3">
      <c r="A283" s="174"/>
      <c r="B283" s="175"/>
      <c r="C283" s="175"/>
      <c r="D283" s="192"/>
      <c r="E283" s="193" t="s">
        <v>44</v>
      </c>
      <c r="F283" s="194"/>
      <c r="G283" s="195"/>
      <c r="H283" s="185"/>
      <c r="I283" s="186"/>
      <c r="J283" s="186">
        <f ca="1">IFERROR(__xludf.DUMMYFUNCTION("IMPORTRANGE(""https://docs.google.com/spreadsheets/d/1yGy89TWty5kAjAO5OL1fLLQ_DL8fVJHFf2LvMm8qymA/edit?usp=sharing"",""รวมเหนือ!J283"")+IMPORTRANGE(""https://docs.google.com/spreadsheets/d/1bWGR5Y7oTgtZIep2hLdTHG-chM0w9aHBSSpJHwm6lak/edit?usp=sharing"","""&amp;"รวมตะวันออกเฉียงเหนือ!J283"")+IMPORTRANGE(""https://docs.google.com/spreadsheets/d/1dCxWUCc_SKNp-qd8qsaa5pPX_-BuQqWJ_-8FnsS4Ki0/edit?usp=sharing"",""รวมกลาง!J283"")+IMPORTRANGE(""https://docs.google.com/spreadsheets/d/1uOzBKYgpuhMUe0xXQLXSct3xZ80hakAMJHdG"&amp;"Jh9616E/edit?usp=sharing"",""รวมใต้!J283"")"),47)</f>
        <v>47</v>
      </c>
      <c r="K283" s="163"/>
      <c r="L283" s="180"/>
      <c r="M283" s="180"/>
      <c r="N283" s="180"/>
      <c r="O283" s="180"/>
      <c r="P283" s="180"/>
    </row>
    <row r="284" spans="1:16" ht="21.75" customHeight="1" x14ac:dyDescent="0.3">
      <c r="A284" s="174"/>
      <c r="B284" s="175"/>
      <c r="C284" s="175"/>
      <c r="D284" s="192"/>
      <c r="E284" s="193" t="s">
        <v>45</v>
      </c>
      <c r="F284" s="194"/>
      <c r="G284" s="195"/>
      <c r="H284" s="185"/>
      <c r="I284" s="186"/>
      <c r="J284" s="186">
        <f ca="1">IFERROR(__xludf.DUMMYFUNCTION("IMPORTRANGE(""https://docs.google.com/spreadsheets/d/1yGy89TWty5kAjAO5OL1fLLQ_DL8fVJHFf2LvMm8qymA/edit?usp=sharing"",""รวมเหนือ!J284"")+IMPORTRANGE(""https://docs.google.com/spreadsheets/d/1bWGR5Y7oTgtZIep2hLdTHG-chM0w9aHBSSpJHwm6lak/edit?usp=sharing"","""&amp;"รวมตะวันออกเฉียงเหนือ!J284"")+IMPORTRANGE(""https://docs.google.com/spreadsheets/d/1dCxWUCc_SKNp-qd8qsaa5pPX_-BuQqWJ_-8FnsS4Ki0/edit?usp=sharing"",""รวมกลาง!J284"")+IMPORTRANGE(""https://docs.google.com/spreadsheets/d/1uOzBKYgpuhMUe0xXQLXSct3xZ80hakAMJHdG"&amp;"Jh9616E/edit?usp=sharing"",""รวมใต้!J284"")"),44)</f>
        <v>44</v>
      </c>
      <c r="K284" s="163"/>
      <c r="L284" s="180"/>
      <c r="M284" s="180"/>
      <c r="N284" s="180"/>
      <c r="O284" s="180"/>
      <c r="P284" s="180"/>
    </row>
    <row r="285" spans="1:16" ht="21.75" customHeight="1" x14ac:dyDescent="0.3">
      <c r="A285" s="174"/>
      <c r="B285" s="175"/>
      <c r="C285" s="175"/>
      <c r="D285" s="192"/>
      <c r="E285" s="194"/>
      <c r="F285" s="193" t="s">
        <v>109</v>
      </c>
      <c r="G285" s="195"/>
      <c r="H285" s="185" t="s">
        <v>37</v>
      </c>
      <c r="I285" s="186">
        <f ca="1">IFERROR(__xludf.DUMMYFUNCTION("IMPORTRANGE(""https://docs.google.com/spreadsheets/d/1yGy89TWty5kAjAO5OL1fLLQ_DL8fVJHFf2LvMm8qymA/edit?usp=sharing"",""รวมเหนือ!I285"")+IMPORTRANGE(""https://docs.google.com/spreadsheets/d/1bWGR5Y7oTgtZIep2hLdTHG-chM0w9aHBSSpJHwm6lak/edit?usp=sharing"","""&amp;"รวมตะวันออกเฉียงเหนือ!I285"")+IMPORTRANGE(""https://docs.google.com/spreadsheets/d/1dCxWUCc_SKNp-qd8qsaa5pPX_-BuQqWJ_-8FnsS4Ki0/edit?usp=sharing"",""รวมกลาง!I285"")+IMPORTRANGE(""https://docs.google.com/spreadsheets/d/1uOzBKYgpuhMUe0xXQLXSct3xZ80hakAMJHdG"&amp;"Jh9616E/edit?usp=sharing"",""รวมใต้!I285"")"),800)</f>
        <v>800</v>
      </c>
      <c r="J285" s="187">
        <f ca="1">IFERROR(__xludf.DUMMYFUNCTION("IMPORTRANGE(""https://docs.google.com/spreadsheets/d/1yGy89TWty5kAjAO5OL1fLLQ_DL8fVJHFf2LvMm8qymA/edit?usp=sharing"",""รวมเหนือ!J285"")+IMPORTRANGE(""https://docs.google.com/spreadsheets/d/1bWGR5Y7oTgtZIep2hLdTHG-chM0w9aHBSSpJHwm6lak/edit?usp=sharing"","""&amp;"รวมตะวันออกเฉียงเหนือ!J285"")+IMPORTRANGE(""https://docs.google.com/spreadsheets/d/1dCxWUCc_SKNp-qd8qsaa5pPX_-BuQqWJ_-8FnsS4Ki0/edit?usp=sharing"",""รวมกลาง!J285"")+IMPORTRANGE(""https://docs.google.com/spreadsheets/d/1uOzBKYgpuhMUe0xXQLXSct3xZ80hakAMJHdG"&amp;"Jh9616E/edit?usp=sharing"",""รวมใต้!J285"")"),800)</f>
        <v>800</v>
      </c>
      <c r="K285" s="163">
        <f ca="1">IF(I285&gt;0,J285*100/I285,0)</f>
        <v>100</v>
      </c>
      <c r="L285" s="180"/>
      <c r="M285" s="180"/>
      <c r="N285" s="180"/>
      <c r="O285" s="180"/>
      <c r="P285" s="180"/>
    </row>
    <row r="286" spans="1:16" ht="21.75" customHeight="1" x14ac:dyDescent="0.3">
      <c r="A286" s="174"/>
      <c r="B286" s="175"/>
      <c r="C286" s="175"/>
      <c r="D286" s="192"/>
      <c r="E286" s="193" t="s">
        <v>51</v>
      </c>
      <c r="F286" s="194"/>
      <c r="G286" s="195"/>
      <c r="H286" s="185"/>
      <c r="I286" s="186"/>
      <c r="J286" s="186">
        <f ca="1">IFERROR(__xludf.DUMMYFUNCTION("IMPORTRANGE(""https://docs.google.com/spreadsheets/d/1yGy89TWty5kAjAO5OL1fLLQ_DL8fVJHFf2LvMm8qymA/edit?usp=sharing"",""รวมเหนือ!J286"")+IMPORTRANGE(""https://docs.google.com/spreadsheets/d/1bWGR5Y7oTgtZIep2hLdTHG-chM0w9aHBSSpJHwm6lak/edit?usp=sharing"","""&amp;"รวมตะวันออกเฉียงเหนือ!J286"")+IMPORTRANGE(""https://docs.google.com/spreadsheets/d/1dCxWUCc_SKNp-qd8qsaa5pPX_-BuQqWJ_-8FnsS4Ki0/edit?usp=sharing"",""รวมกลาง!J286"")+IMPORTRANGE(""https://docs.google.com/spreadsheets/d/1uOzBKYgpuhMUe0xXQLXSct3xZ80hakAMJHdG"&amp;"Jh9616E/edit?usp=sharing"",""รวมใต้!J286"")"),2)</f>
        <v>2</v>
      </c>
      <c r="K286" s="163"/>
      <c r="L286" s="180"/>
      <c r="M286" s="180"/>
      <c r="N286" s="180"/>
      <c r="O286" s="180"/>
      <c r="P286" s="180"/>
    </row>
    <row r="287" spans="1:16" ht="21.75" customHeight="1" x14ac:dyDescent="0.3">
      <c r="A287" s="174"/>
      <c r="B287" s="175"/>
      <c r="C287" s="175"/>
      <c r="D287" s="202">
        <v>3</v>
      </c>
      <c r="E287" s="203" t="s">
        <v>52</v>
      </c>
      <c r="F287" s="204"/>
      <c r="G287" s="205"/>
      <c r="H287" s="185"/>
      <c r="I287" s="186"/>
      <c r="J287" s="206">
        <f ca="1">IFERROR(__xludf.DUMMYFUNCTION("IMPORTRANGE(""https://docs.google.com/spreadsheets/d/1yGy89TWty5kAjAO5OL1fLLQ_DL8fVJHFf2LvMm8qymA/edit?usp=sharing"",""รวมเหนือ!J287"")+IMPORTRANGE(""https://docs.google.com/spreadsheets/d/1bWGR5Y7oTgtZIep2hLdTHG-chM0w9aHBSSpJHwm6lak/edit?usp=sharing"","""&amp;"รวมตะวันออกเฉียงเหนือ!J287"")+IMPORTRANGE(""https://docs.google.com/spreadsheets/d/1dCxWUCc_SKNp-qd8qsaa5pPX_-BuQqWJ_-8FnsS4Ki0/edit?usp=sharing"",""รวมกลาง!J287"")+IMPORTRANGE(""https://docs.google.com/spreadsheets/d/1uOzBKYgpuhMUe0xXQLXSct3xZ80hakAMJHdG"&amp;"Jh9616E/edit?usp=sharing"",""รวมใต้!J287"")"),0)</f>
        <v>0</v>
      </c>
      <c r="K287" s="163"/>
      <c r="L287" s="180"/>
      <c r="M287" s="180"/>
      <c r="N287" s="180"/>
      <c r="O287" s="180"/>
      <c r="P287" s="180"/>
    </row>
    <row r="288" spans="1:16" ht="21.75" customHeight="1" x14ac:dyDescent="0.3">
      <c r="A288" s="303" t="s">
        <v>110</v>
      </c>
      <c r="B288" s="304"/>
      <c r="C288" s="304"/>
      <c r="D288" s="305"/>
      <c r="E288" s="304"/>
      <c r="F288" s="304"/>
      <c r="G288" s="318"/>
      <c r="H288" s="319"/>
      <c r="I288" s="320"/>
      <c r="J288" s="320"/>
      <c r="K288" s="321"/>
      <c r="L288" s="321"/>
      <c r="M288" s="321"/>
      <c r="N288" s="321"/>
      <c r="O288" s="310"/>
      <c r="P288" s="310"/>
    </row>
    <row r="289" spans="1:16" ht="21.75" customHeight="1" x14ac:dyDescent="0.3">
      <c r="A289" s="322"/>
      <c r="B289" s="312" t="s">
        <v>111</v>
      </c>
      <c r="C289" s="323"/>
      <c r="D289" s="324"/>
      <c r="E289" s="312"/>
      <c r="F289" s="312"/>
      <c r="G289" s="313"/>
      <c r="H289" s="314" t="s">
        <v>37</v>
      </c>
      <c r="I289" s="315">
        <f ca="1">IFERROR(__xludf.DUMMYFUNCTION("IMPORTRANGE(""https://docs.google.com/spreadsheets/d/1yGy89TWty5kAjAO5OL1fLLQ_DL8fVJHFf2LvMm8qymA/edit?usp=sharing"",""รวมเหนือ!I289"")+IMPORTRANGE(""https://docs.google.com/spreadsheets/d/1bWGR5Y7oTgtZIep2hLdTHG-chM0w9aHBSSpJHwm6lak/edit?usp=sharing"","""&amp;"รวมตะวันออกเฉียงเหนือ!I289"")+IMPORTRANGE(""https://docs.google.com/spreadsheets/d/1dCxWUCc_SKNp-qd8qsaa5pPX_-BuQqWJ_-8FnsS4Ki0/edit?usp=sharing"",""รวมกลาง!I289"")+IMPORTRANGE(""https://docs.google.com/spreadsheets/d/1uOzBKYgpuhMUe0xXQLXSct3xZ80hakAMJHdG"&amp;"Jh9616E/edit?usp=sharing"",""รวมใต้!I289"")"),300)</f>
        <v>300</v>
      </c>
      <c r="J289" s="315">
        <f ca="1">IFERROR(__xludf.DUMMYFUNCTION("IMPORTRANGE(""https://docs.google.com/spreadsheets/d/1yGy89TWty5kAjAO5OL1fLLQ_DL8fVJHFf2LvMm8qymA/edit?usp=sharing"",""รวมเหนือ!J289"")+IMPORTRANGE(""https://docs.google.com/spreadsheets/d/1bWGR5Y7oTgtZIep2hLdTHG-chM0w9aHBSSpJHwm6lak/edit?usp=sharing"","""&amp;"รวมตะวันออกเฉียงเหนือ!J289"")+IMPORTRANGE(""https://docs.google.com/spreadsheets/d/1dCxWUCc_SKNp-qd8qsaa5pPX_-BuQqWJ_-8FnsS4Ki0/edit?usp=sharing"",""รวมกลาง!J289"")+IMPORTRANGE(""https://docs.google.com/spreadsheets/d/1uOzBKYgpuhMUe0xXQLXSct3xZ80hakAMJHdG"&amp;"Jh9616E/edit?usp=sharing"",""รวมใต้!J289"")"),285)</f>
        <v>285</v>
      </c>
      <c r="K289" s="316">
        <f ca="1">IF(I289&gt;0,J289*100/I289,0)</f>
        <v>95</v>
      </c>
      <c r="L289" s="317"/>
      <c r="M289" s="317"/>
      <c r="N289" s="317"/>
      <c r="O289" s="316"/>
      <c r="P289" s="316"/>
    </row>
    <row r="290" spans="1:16" ht="21.75" customHeight="1" x14ac:dyDescent="0.4">
      <c r="A290" s="146"/>
      <c r="B290" s="147"/>
      <c r="C290" s="148" t="s">
        <v>16</v>
      </c>
      <c r="D290" s="533" t="s">
        <v>17</v>
      </c>
      <c r="E290" s="534"/>
      <c r="F290" s="534"/>
      <c r="G290" s="534"/>
      <c r="H290" s="149" t="s">
        <v>12</v>
      </c>
      <c r="I290" s="186"/>
      <c r="J290" s="186"/>
      <c r="K290" s="221"/>
      <c r="L290" s="152">
        <f t="shared" ref="L290:N290" ca="1" si="91">L291+L292</f>
        <v>2823800</v>
      </c>
      <c r="M290" s="152">
        <f t="shared" ca="1" si="91"/>
        <v>2383900</v>
      </c>
      <c r="N290" s="152">
        <f t="shared" ca="1" si="91"/>
        <v>1220644</v>
      </c>
      <c r="O290" s="151">
        <f t="shared" ref="O290:O292" ca="1" si="92">IF(L290&gt;0,N290*100/L290,0)</f>
        <v>43.226999079254902</v>
      </c>
      <c r="P290" s="151">
        <f t="shared" ref="P290:P294" ca="1" si="93">IF(M290&gt;0,N290*100/M290,0)</f>
        <v>51.203657871555016</v>
      </c>
    </row>
    <row r="291" spans="1:16" ht="21.75" customHeight="1" x14ac:dyDescent="0.4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6"/>
      <c r="J291" s="186"/>
      <c r="K291" s="221"/>
      <c r="L291" s="157">
        <f t="shared" ref="L291:N291" ca="1" si="94">L293+L297</f>
        <v>1090860</v>
      </c>
      <c r="M291" s="157">
        <f t="shared" ca="1" si="94"/>
        <v>650960</v>
      </c>
      <c r="N291" s="157">
        <f t="shared" ca="1" si="94"/>
        <v>165574</v>
      </c>
      <c r="O291" s="156">
        <f t="shared" ca="1" si="92"/>
        <v>15.178299690152723</v>
      </c>
      <c r="P291" s="156">
        <f t="shared" ca="1" si="93"/>
        <v>25.435357011183484</v>
      </c>
    </row>
    <row r="292" spans="1:16" ht="21.75" customHeight="1" x14ac:dyDescent="0.4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6"/>
      <c r="J292" s="186"/>
      <c r="K292" s="221"/>
      <c r="L292" s="157">
        <f t="shared" ref="L292:N292" ca="1" si="95">L294+L298</f>
        <v>1732940</v>
      </c>
      <c r="M292" s="157">
        <f t="shared" ca="1" si="95"/>
        <v>1732940</v>
      </c>
      <c r="N292" s="157">
        <f t="shared" ca="1" si="95"/>
        <v>1055070</v>
      </c>
      <c r="O292" s="156">
        <f t="shared" ca="1" si="92"/>
        <v>60.883238888824771</v>
      </c>
      <c r="P292" s="156">
        <f t="shared" ca="1" si="93"/>
        <v>60.883238888824771</v>
      </c>
    </row>
    <row r="293" spans="1:16" ht="21.75" customHeight="1" x14ac:dyDescent="0.4">
      <c r="A293" s="158"/>
      <c r="B293" s="159"/>
      <c r="C293" s="159" t="s">
        <v>16</v>
      </c>
      <c r="D293" s="535" t="s">
        <v>20</v>
      </c>
      <c r="E293" s="532"/>
      <c r="F293" s="532"/>
      <c r="G293" s="160" t="s">
        <v>38</v>
      </c>
      <c r="H293" s="168" t="s">
        <v>12</v>
      </c>
      <c r="I293" s="186" t="s">
        <v>39</v>
      </c>
      <c r="J293" s="186"/>
      <c r="K293" s="221"/>
      <c r="L293" s="164">
        <f ca="1">IFERROR(__xludf.DUMMYFUNCTION("IMPORTRANGE(""https://docs.google.com/spreadsheets/d/1Yj_ptqi66GCucihVvJfMjLAmec39IyEx_6qawtMGysU/edit?usp=sharing"",""สบก!CO15"")"),1090560)</f>
        <v>1090560</v>
      </c>
      <c r="M293" s="164">
        <f ca="1">IFERROR(__xludf.DUMMYFUNCTION("IMPORTRANGE(""https://docs.google.com/spreadsheets/d/1Yj_ptqi66GCucihVvJfMjLAmec39IyEx_6qawtMGysU/edit?usp=sharing"",""สบก!CT15"")"),650960)</f>
        <v>650960</v>
      </c>
      <c r="N293" s="164">
        <f ca="1">IFERROR(__xludf.DUMMYFUNCTION("IMPORTRANGE(""https://docs.google.com/spreadsheets/d/1Yj_ptqi66GCucihVvJfMjLAmec39IyEx_6qawtMGysU/edit?usp=sharing"",""สบก!CU15"")"),165574)</f>
        <v>165574</v>
      </c>
      <c r="O293" s="165">
        <f ca="1">+IF(L293&gt;0,N293*100/L293,0)</f>
        <v>15.182475058685446</v>
      </c>
      <c r="P293" s="165">
        <f t="shared" ca="1" si="93"/>
        <v>25.435357011183484</v>
      </c>
    </row>
    <row r="294" spans="1:16" ht="21.75" customHeight="1" x14ac:dyDescent="0.3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8" t="s">
        <v>12</v>
      </c>
      <c r="I294" s="186"/>
      <c r="J294" s="186"/>
      <c r="K294" s="221"/>
      <c r="L294" s="164">
        <f ca="1">IFERROR(__xludf.DUMMYFUNCTION("IMPORTRANGE(""https://docs.google.com/spreadsheets/d/1yGy89TWty5kAjAO5OL1fLLQ_DL8fVJHFf2LvMm8qymA/edit?usp=sharing"",""รวมเหนือ!L294"")+IMPORTRANGE(""https://docs.google.com/spreadsheets/d/1bWGR5Y7oTgtZIep2hLdTHG-chM0w9aHBSSpJHwm6lak/edit?usp=sharing"","""&amp;"รวมตะวันออกเฉียงเหนือ!L294"")+IMPORTRANGE(""https://docs.google.com/spreadsheets/d/1dCxWUCc_SKNp-qd8qsaa5pPX_-BuQqWJ_-8FnsS4Ki0/edit?usp=sharing"",""รวมกลาง!L294"")+IMPORTRANGE(""https://docs.google.com/spreadsheets/d/1uOzBKYgpuhMUe0xXQLXSct3xZ80hakAMJHdG"&amp;"Jh9616E/edit?usp=sharing"",""รวมใต้!L294"")"),1028440)</f>
        <v>1028440</v>
      </c>
      <c r="M294" s="164">
        <f ca="1">IFERROR(__xludf.DUMMYFUNCTION("IMPORTRANGE(""https://docs.google.com/spreadsheets/d/1yGy89TWty5kAjAO5OL1fLLQ_DL8fVJHFf2LvMm8qymA/edit?usp=sharing"",""รวมเหนือ!M294"")+IMPORTRANGE(""https://docs.google.com/spreadsheets/d/1bWGR5Y7oTgtZIep2hLdTHG-chM0w9aHBSSpJHwm6lak/edit?usp=sharing"","""&amp;"รวมตะวันออกเฉียงเหนือ!M294"")+IMPORTRANGE(""https://docs.google.com/spreadsheets/d/1dCxWUCc_SKNp-qd8qsaa5pPX_-BuQqWJ_-8FnsS4Ki0/edit?usp=sharing"",""รวมกลาง!M294"")+IMPORTRANGE(""https://docs.google.com/spreadsheets/d/1uOzBKYgpuhMUe0xXQLXSct3xZ80hakAMJHdG"&amp;"Jh9616E/edit?usp=sharing"",""รวมใต้!M294"")"),1028440)</f>
        <v>1028440</v>
      </c>
      <c r="N294" s="165">
        <f ca="1">IFERROR(__xludf.DUMMYFUNCTION("IMPORTRANGE(""https://docs.google.com/spreadsheets/d/1yGy89TWty5kAjAO5OL1fLLQ_DL8fVJHFf2LvMm8qymA/edit?usp=sharing"",""รวมเหนือ!N294"")+IMPORTRANGE(""https://docs.google.com/spreadsheets/d/1bWGR5Y7oTgtZIep2hLdTHG-chM0w9aHBSSpJHwm6lak/edit?usp=sharing"","""&amp;"รวมตะวันออกเฉียงเหนือ!N294"")+IMPORTRANGE(""https://docs.google.com/spreadsheets/d/1dCxWUCc_SKNp-qd8qsaa5pPX_-BuQqWJ_-8FnsS4Ki0/edit?usp=sharing"",""รวมกลาง!N294"")+IMPORTRANGE(""https://docs.google.com/spreadsheets/d/1uOzBKYgpuhMUe0xXQLXSct3xZ80hakAMJHdG"&amp;"Jh9616E/edit?usp=sharing"",""รวมใต้!N294"")"),450570)</f>
        <v>450570</v>
      </c>
      <c r="O294" s="165">
        <f ca="1">IF(L294&gt;0,N294*100/L294,0)</f>
        <v>43.811014740772436</v>
      </c>
      <c r="P294" s="165">
        <f t="shared" ca="1" si="93"/>
        <v>43.811014740772436</v>
      </c>
    </row>
    <row r="295" spans="1:16" ht="21.75" customHeight="1" x14ac:dyDescent="0.4">
      <c r="A295" s="158"/>
      <c r="B295" s="159"/>
      <c r="C295" s="159"/>
      <c r="D295" s="166"/>
      <c r="E295" s="167"/>
      <c r="F295" s="167"/>
      <c r="G295" s="34" t="s">
        <v>21</v>
      </c>
      <c r="H295" s="168" t="s">
        <v>12</v>
      </c>
      <c r="I295" s="186"/>
      <c r="J295" s="186"/>
      <c r="K295" s="221"/>
      <c r="L295" s="164">
        <f ca="1">IFERROR(__xludf.DUMMYFUNCTION("IMPORTRANGE(""https://docs.google.com/spreadsheets/d/1yGy89TWty5kAjAO5OL1fLLQ_DL8fVJHFf2LvMm8qymA/edit?usp=sharing"",""รวมเหนือ!L295"")+IMPORTRANGE(""https://docs.google.com/spreadsheets/d/1bWGR5Y7oTgtZIep2hLdTHG-chM0w9aHBSSpJHwm6lak/edit?usp=sharing"","""&amp;"รวมตะวันออกเฉียงเหนือ!L295"")+IMPORTRANGE(""https://docs.google.com/spreadsheets/d/1dCxWUCc_SKNp-qd8qsaa5pPX_-BuQqWJ_-8FnsS4Ki0/edit?usp=sharing"",""รวมกลาง!L295"")+IMPORTRANGE(""https://docs.google.com/spreadsheets/d/1uOzBKYgpuhMUe0xXQLXSct3xZ80hakAMJHdG"&amp;"Jh9616E/edit?usp=sharing"",""รวมใต้!L295"")"),0)</f>
        <v>0</v>
      </c>
      <c r="M295" s="164"/>
      <c r="N295" s="164"/>
      <c r="O295" s="165"/>
      <c r="P295" s="165"/>
    </row>
    <row r="296" spans="1:16" ht="21.75" customHeight="1" x14ac:dyDescent="0.4">
      <c r="A296" s="158"/>
      <c r="B296" s="159"/>
      <c r="C296" s="159"/>
      <c r="D296" s="166"/>
      <c r="E296" s="167"/>
      <c r="F296" s="167"/>
      <c r="G296" s="34" t="s">
        <v>22</v>
      </c>
      <c r="H296" s="168" t="s">
        <v>12</v>
      </c>
      <c r="I296" s="186"/>
      <c r="J296" s="186"/>
      <c r="K296" s="221"/>
      <c r="L296" s="164">
        <f ca="1">IFERROR(__xludf.DUMMYFUNCTION("IMPORTRANGE(""https://docs.google.com/spreadsheets/d/1yGy89TWty5kAjAO5OL1fLLQ_DL8fVJHFf2LvMm8qymA/edit?usp=sharing"",""รวมเหนือ!L296"")+IMPORTRANGE(""https://docs.google.com/spreadsheets/d/1bWGR5Y7oTgtZIep2hLdTHG-chM0w9aHBSSpJHwm6lak/edit?usp=sharing"","""&amp;"รวมตะวันออกเฉียงเหนือ!L296"")+IMPORTRANGE(""https://docs.google.com/spreadsheets/d/1dCxWUCc_SKNp-qd8qsaa5pPX_-BuQqWJ_-8FnsS4Ki0/edit?usp=sharing"",""รวมกลาง!L296"")+IMPORTRANGE(""https://docs.google.com/spreadsheets/d/1uOzBKYgpuhMUe0xXQLXSct3xZ80hakAMJHdG"&amp;"Jh9616E/edit?usp=sharing"",""รวมใต้!L296"")"),1028440)</f>
        <v>1028440</v>
      </c>
      <c r="M296" s="164"/>
      <c r="N296" s="164"/>
      <c r="O296" s="165"/>
      <c r="P296" s="165"/>
    </row>
    <row r="297" spans="1:16" ht="21.75" customHeight="1" x14ac:dyDescent="0.4">
      <c r="A297" s="169"/>
      <c r="B297" s="80"/>
      <c r="C297" s="81" t="s">
        <v>16</v>
      </c>
      <c r="D297" s="531" t="s">
        <v>23</v>
      </c>
      <c r="E297" s="532"/>
      <c r="F297" s="86"/>
      <c r="G297" s="82" t="s">
        <v>18</v>
      </c>
      <c r="H297" s="170" t="s">
        <v>12</v>
      </c>
      <c r="I297" s="186"/>
      <c r="J297" s="186"/>
      <c r="K297" s="221"/>
      <c r="L297" s="41">
        <f ca="1">IFERROR(__xludf.DUMMYFUNCTION("IMPORTRANGE(""https://docs.google.com/spreadsheets/d/1Yj_ptqi66GCucihVvJfMjLAmec39IyEx_6qawtMGysU/edit?usp=sharing"",""สบก!CR15"")"),300)</f>
        <v>300</v>
      </c>
      <c r="M297" s="41"/>
      <c r="N297" s="41">
        <f ca="1">IFERROR(__xludf.DUMMYFUNCTION("IMPORTRANGE(""https://docs.google.com/spreadsheets/d/1Yj_ptqi66GCucihVvJfMjLAmec39IyEx_6qawtMGysU/edit?usp=sharing"",""สบก!CV15"")"),0)</f>
        <v>0</v>
      </c>
      <c r="O297" s="120"/>
      <c r="P297" s="120"/>
    </row>
    <row r="298" spans="1:16" ht="21.75" customHeight="1" x14ac:dyDescent="0.4">
      <c r="A298" s="171"/>
      <c r="B298" s="89"/>
      <c r="C298" s="89"/>
      <c r="D298" s="172"/>
      <c r="E298" s="90"/>
      <c r="F298" s="90"/>
      <c r="G298" s="91" t="s">
        <v>19</v>
      </c>
      <c r="H298" s="173" t="s">
        <v>12</v>
      </c>
      <c r="I298" s="186"/>
      <c r="J298" s="186"/>
      <c r="K298" s="221"/>
      <c r="L298" s="49">
        <f ca="1">IFERROR(__xludf.DUMMYFUNCTION("IMPORTRANGE(""https://docs.google.com/spreadsheets/d/1yGy89TWty5kAjAO5OL1fLLQ_DL8fVJHFf2LvMm8qymA/edit?usp=sharing"",""รวมเหนือ!L298"")+IMPORTRANGE(""https://docs.google.com/spreadsheets/d/1bWGR5Y7oTgtZIep2hLdTHG-chM0w9aHBSSpJHwm6lak/edit?usp=sharing"","""&amp;"รวมตะวันออกเฉียงเหนือ!L298"")+IMPORTRANGE(""https://docs.google.com/spreadsheets/d/1dCxWUCc_SKNp-qd8qsaa5pPX_-BuQqWJ_-8FnsS4Ki0/edit?usp=sharing"",""รวมกลาง!L298"")+IMPORTRANGE(""https://docs.google.com/spreadsheets/d/1uOzBKYgpuhMUe0xXQLXSct3xZ80hakAMJHdG"&amp;"Jh9616E/edit?usp=sharing"",""รวมใต้!L298"")"),704500)</f>
        <v>704500</v>
      </c>
      <c r="M298" s="49">
        <f ca="1">IFERROR(__xludf.DUMMYFUNCTION("IMPORTRANGE(""https://docs.google.com/spreadsheets/d/1yGy89TWty5kAjAO5OL1fLLQ_DL8fVJHFf2LvMm8qymA/edit?usp=sharing"",""รวมเหนือ!m298"")+IMPORTRANGE(""https://docs.google.com/spreadsheets/d/1bWGR5Y7oTgtZIep2hLdTHG-chM0w9aHBSSpJHwm6lak/edit?usp=sharing"","""&amp;"รวมตะวันออกเฉียงเหนือ!m298"")+IMPORTRANGE(""https://docs.google.com/spreadsheets/d/1dCxWUCc_SKNp-qd8qsaa5pPX_-BuQqWJ_-8FnsS4Ki0/edit?usp=sharing"",""รวมกลาง!m298"")+IMPORTRANGE(""https://docs.google.com/spreadsheets/d/1uOzBKYgpuhMUe0xXQLXSct3xZ80hakAMJHdG"&amp;"Jh9616E/edit?usp=sharing"",""รวมใต้!m298"")"),704500)</f>
        <v>704500</v>
      </c>
      <c r="N298" s="49">
        <f ca="1">IFERROR(__xludf.DUMMYFUNCTION("IMPORTRANGE(""https://docs.google.com/spreadsheets/d/1yGy89TWty5kAjAO5OL1fLLQ_DL8fVJHFf2LvMm8qymA/edit?usp=sharing"",""รวมเหนือ!N298"")+IMPORTRANGE(""https://docs.google.com/spreadsheets/d/1bWGR5Y7oTgtZIep2hLdTHG-chM0w9aHBSSpJHwm6lak/edit?usp=sharing"","""&amp;"รวมตะวันออกเฉียงเหนือ!N298"")+IMPORTRANGE(""https://docs.google.com/spreadsheets/d/1dCxWUCc_SKNp-qd8qsaa5pPX_-BuQqWJ_-8FnsS4Ki0/edit?usp=sharing"",""รวมกลาง!N298"")+IMPORTRANGE(""https://docs.google.com/spreadsheets/d/1uOzBKYgpuhMUe0xXQLXSct3xZ80hakAMJHdG"&amp;"Jh9616E/edit?usp=sharing"",""รวมใต้!N298"")"),604500)</f>
        <v>604500</v>
      </c>
      <c r="O298" s="121">
        <f ca="1">IF(L298&gt;0,N298*100/L298,0)</f>
        <v>85.805535841022007</v>
      </c>
      <c r="P298" s="121">
        <f ca="1">IF(M298&gt;0,N298*100/M298,0)</f>
        <v>85.805535841022007</v>
      </c>
    </row>
    <row r="299" spans="1:16" ht="21.75" customHeight="1" x14ac:dyDescent="0.3">
      <c r="A299" s="174"/>
      <c r="B299" s="175"/>
      <c r="C299" s="159" t="s">
        <v>16</v>
      </c>
      <c r="D299" s="176" t="s">
        <v>41</v>
      </c>
      <c r="E299" s="177"/>
      <c r="F299" s="177"/>
      <c r="G299" s="178"/>
      <c r="H299" s="179"/>
      <c r="I299" s="186"/>
      <c r="J299" s="186"/>
      <c r="K299" s="221"/>
      <c r="L299" s="165"/>
      <c r="M299" s="165"/>
      <c r="N299" s="165"/>
      <c r="O299" s="180"/>
      <c r="P299" s="180"/>
    </row>
    <row r="300" spans="1:16" ht="21.75" customHeight="1" x14ac:dyDescent="0.3">
      <c r="A300" s="174"/>
      <c r="B300" s="175"/>
      <c r="C300" s="175"/>
      <c r="D300" s="181">
        <v>1</v>
      </c>
      <c r="E300" s="182" t="s">
        <v>42</v>
      </c>
      <c r="F300" s="183"/>
      <c r="G300" s="184"/>
      <c r="H300" s="185"/>
      <c r="I300" s="186"/>
      <c r="J300" s="186">
        <f ca="1">IFERROR(__xludf.DUMMYFUNCTION("IMPORTRANGE(""https://docs.google.com/spreadsheets/d/1yGy89TWty5kAjAO5OL1fLLQ_DL8fVJHFf2LvMm8qymA/edit?usp=sharing"",""รวมเหนือ!J300"")+IMPORTRANGE(""https://docs.google.com/spreadsheets/d/1bWGR5Y7oTgtZIep2hLdTHG-chM0w9aHBSSpJHwm6lak/edit?usp=sharing"","""&amp;"รวมตะวันออกเฉียงเหนือ!J300"")+IMPORTRANGE(""https://docs.google.com/spreadsheets/d/1dCxWUCc_SKNp-qd8qsaa5pPX_-BuQqWJ_-8FnsS4Ki0/edit?usp=sharing"",""รวมกลาง!J300"")+IMPORTRANGE(""https://docs.google.com/spreadsheets/d/1uOzBKYgpuhMUe0xXQLXSct3xZ80hakAMJHdG"&amp;"Jh9616E/edit?usp=sharing"",""รวมใต้!J300"")"),0)</f>
        <v>0</v>
      </c>
      <c r="K300" s="221"/>
      <c r="L300" s="165"/>
      <c r="M300" s="165"/>
      <c r="N300" s="165"/>
      <c r="O300" s="180"/>
      <c r="P300" s="180"/>
    </row>
    <row r="301" spans="1:16" ht="21.75" customHeight="1" x14ac:dyDescent="0.3">
      <c r="A301" s="174"/>
      <c r="B301" s="175"/>
      <c r="C301" s="175"/>
      <c r="D301" s="188">
        <v>2</v>
      </c>
      <c r="E301" s="189" t="s">
        <v>43</v>
      </c>
      <c r="F301" s="190"/>
      <c r="G301" s="191"/>
      <c r="H301" s="185"/>
      <c r="I301" s="186"/>
      <c r="J301" s="186">
        <f ca="1">IFERROR(__xludf.DUMMYFUNCTION("IMPORTRANGE(""https://docs.google.com/spreadsheets/d/1yGy89TWty5kAjAO5OL1fLLQ_DL8fVJHFf2LvMm8qymA/edit?usp=sharing"",""รวมเหนือ!J301"")+IMPORTRANGE(""https://docs.google.com/spreadsheets/d/1bWGR5Y7oTgtZIep2hLdTHG-chM0w9aHBSSpJHwm6lak/edit?usp=sharing"","""&amp;"รวมตะวันออกเฉียงเหนือ!J301"")+IMPORTRANGE(""https://docs.google.com/spreadsheets/d/1dCxWUCc_SKNp-qd8qsaa5pPX_-BuQqWJ_-8FnsS4Ki0/edit?usp=sharing"",""รวมกลาง!J301"")+IMPORTRANGE(""https://docs.google.com/spreadsheets/d/1uOzBKYgpuhMUe0xXQLXSct3xZ80hakAMJHdG"&amp;"Jh9616E/edit?usp=sharing"",""รวมใต้!J301"")"),10)</f>
        <v>10</v>
      </c>
      <c r="K301" s="221"/>
      <c r="L301" s="165" t="s">
        <v>39</v>
      </c>
      <c r="M301" s="165"/>
      <c r="N301" s="165" t="s">
        <v>39</v>
      </c>
      <c r="O301" s="180"/>
      <c r="P301" s="180"/>
    </row>
    <row r="302" spans="1:16" ht="21.75" customHeight="1" x14ac:dyDescent="0.3">
      <c r="A302" s="174"/>
      <c r="B302" s="175"/>
      <c r="C302" s="175"/>
      <c r="D302" s="192"/>
      <c r="E302" s="193" t="s">
        <v>44</v>
      </c>
      <c r="F302" s="194"/>
      <c r="G302" s="195"/>
      <c r="H302" s="185"/>
      <c r="I302" s="186"/>
      <c r="J302" s="186">
        <f ca="1">IFERROR(__xludf.DUMMYFUNCTION("IMPORTRANGE(""https://docs.google.com/spreadsheets/d/1yGy89TWty5kAjAO5OL1fLLQ_DL8fVJHFf2LvMm8qymA/edit?usp=sharing"",""รวมเหนือ!J302"")+IMPORTRANGE(""https://docs.google.com/spreadsheets/d/1bWGR5Y7oTgtZIep2hLdTHG-chM0w9aHBSSpJHwm6lak/edit?usp=sharing"","""&amp;"รวมตะวันออกเฉียงเหนือ!J302"")+IMPORTRANGE(""https://docs.google.com/spreadsheets/d/1dCxWUCc_SKNp-qd8qsaa5pPX_-BuQqWJ_-8FnsS4Ki0/edit?usp=sharing"",""รวมกลาง!J302"")+IMPORTRANGE(""https://docs.google.com/spreadsheets/d/1uOzBKYgpuhMUe0xXQLXSct3xZ80hakAMJHdG"&amp;"Jh9616E/edit?usp=sharing"",""รวมใต้!J302"")"),10)</f>
        <v>10</v>
      </c>
      <c r="K302" s="221"/>
      <c r="L302" s="165"/>
      <c r="M302" s="165"/>
      <c r="N302" s="165"/>
      <c r="O302" s="180"/>
      <c r="P302" s="180"/>
    </row>
    <row r="303" spans="1:16" ht="21.75" customHeight="1" x14ac:dyDescent="0.3">
      <c r="A303" s="174"/>
      <c r="B303" s="175"/>
      <c r="C303" s="175"/>
      <c r="D303" s="192"/>
      <c r="E303" s="193" t="s">
        <v>45</v>
      </c>
      <c r="F303" s="194"/>
      <c r="G303" s="195"/>
      <c r="H303" s="185"/>
      <c r="I303" s="186"/>
      <c r="J303" s="186">
        <f ca="1">IFERROR(__xludf.DUMMYFUNCTION("IMPORTRANGE(""https://docs.google.com/spreadsheets/d/1yGy89TWty5kAjAO5OL1fLLQ_DL8fVJHFf2LvMm8qymA/edit?usp=sharing"",""รวมเหนือ!J303"")+IMPORTRANGE(""https://docs.google.com/spreadsheets/d/1bWGR5Y7oTgtZIep2hLdTHG-chM0w9aHBSSpJHwm6lak/edit?usp=sharing"","""&amp;"รวมตะวันออกเฉียงเหนือ!J303"")+IMPORTRANGE(""https://docs.google.com/spreadsheets/d/1dCxWUCc_SKNp-qd8qsaa5pPX_-BuQqWJ_-8FnsS4Ki0/edit?usp=sharing"",""รวมกลาง!J303"")+IMPORTRANGE(""https://docs.google.com/spreadsheets/d/1uOzBKYgpuhMUe0xXQLXSct3xZ80hakAMJHdG"&amp;"Jh9616E/edit?usp=sharing"",""รวมใต้!J303"")"),10)</f>
        <v>10</v>
      </c>
      <c r="K303" s="221"/>
      <c r="L303" s="165"/>
      <c r="M303" s="165"/>
      <c r="N303" s="165"/>
      <c r="O303" s="180"/>
      <c r="P303" s="180"/>
    </row>
    <row r="304" spans="1:16" ht="21.75" customHeight="1" x14ac:dyDescent="0.3">
      <c r="A304" s="174"/>
      <c r="B304" s="175"/>
      <c r="C304" s="175"/>
      <c r="D304" s="192"/>
      <c r="E304" s="196"/>
      <c r="F304" s="193" t="s">
        <v>112</v>
      </c>
      <c r="G304" s="195"/>
      <c r="H304" s="179" t="s">
        <v>37</v>
      </c>
      <c r="I304" s="186">
        <f ca="1">IFERROR(__xludf.DUMMYFUNCTION("IMPORTRANGE(""https://docs.google.com/spreadsheets/d/1yGy89TWty5kAjAO5OL1fLLQ_DL8fVJHFf2LvMm8qymA/edit?usp=sharing"",""รวมเหนือ!I304"")+IMPORTRANGE(""https://docs.google.com/spreadsheets/d/1bWGR5Y7oTgtZIep2hLdTHG-chM0w9aHBSSpJHwm6lak/edit?usp=sharing"","""&amp;"รวมตะวันออกเฉียงเหนือ!I304"")+IMPORTRANGE(""https://docs.google.com/spreadsheets/d/1dCxWUCc_SKNp-qd8qsaa5pPX_-BuQqWJ_-8FnsS4Ki0/edit?usp=sharing"",""รวมกลาง!I304"")+IMPORTRANGE(""https://docs.google.com/spreadsheets/d/1uOzBKYgpuhMUe0xXQLXSct3xZ80hakAMJHdG"&amp;"Jh9616E/edit?usp=sharing"",""รวมใต้!I304"")"),300)</f>
        <v>300</v>
      </c>
      <c r="J304" s="187">
        <f ca="1">IFERROR(__xludf.DUMMYFUNCTION("IMPORTRANGE(""https://docs.google.com/spreadsheets/d/1yGy89TWty5kAjAO5OL1fLLQ_DL8fVJHFf2LvMm8qymA/edit?usp=sharing"",""รวมเหนือ!J304"")+IMPORTRANGE(""https://docs.google.com/spreadsheets/d/1bWGR5Y7oTgtZIep2hLdTHG-chM0w9aHBSSpJHwm6lak/edit?usp=sharing"","""&amp;"รวมตะวันออกเฉียงเหนือ!J304"")+IMPORTRANGE(""https://docs.google.com/spreadsheets/d/1dCxWUCc_SKNp-qd8qsaa5pPX_-BuQqWJ_-8FnsS4Ki0/edit?usp=sharing"",""รวมกลาง!J304"")+IMPORTRANGE(""https://docs.google.com/spreadsheets/d/1uOzBKYgpuhMUe0xXQLXSct3xZ80hakAMJHdG"&amp;"Jh9616E/edit?usp=sharing"",""รวมใต้!J304"")"),285)</f>
        <v>285</v>
      </c>
      <c r="K304" s="221">
        <f ca="1">IF(I304&gt;0,J304*100/I304,0)</f>
        <v>95</v>
      </c>
      <c r="L304" s="165"/>
      <c r="M304" s="165"/>
      <c r="N304" s="165"/>
      <c r="O304" s="180"/>
      <c r="P304" s="180"/>
    </row>
    <row r="305" spans="1:16" ht="21.75" customHeight="1" x14ac:dyDescent="0.3">
      <c r="A305" s="174"/>
      <c r="B305" s="175"/>
      <c r="C305" s="175"/>
      <c r="D305" s="192"/>
      <c r="E305" s="196"/>
      <c r="F305" s="193" t="s">
        <v>113</v>
      </c>
      <c r="G305" s="195"/>
      <c r="H305" s="179"/>
      <c r="I305" s="186"/>
      <c r="J305" s="186"/>
      <c r="K305" s="221"/>
      <c r="L305" s="165"/>
      <c r="M305" s="165"/>
      <c r="N305" s="165"/>
      <c r="O305" s="180"/>
      <c r="P305" s="180"/>
    </row>
    <row r="306" spans="1:16" ht="21.75" customHeight="1" x14ac:dyDescent="0.3">
      <c r="A306" s="174"/>
      <c r="B306" s="175"/>
      <c r="C306" s="175"/>
      <c r="D306" s="192"/>
      <c r="E306" s="196"/>
      <c r="F306" s="194" t="s">
        <v>50</v>
      </c>
      <c r="G306" s="195"/>
      <c r="H306" s="179" t="s">
        <v>37</v>
      </c>
      <c r="I306" s="186">
        <f ca="1">IFERROR(__xludf.DUMMYFUNCTION("IMPORTRANGE(""https://docs.google.com/spreadsheets/d/1yGy89TWty5kAjAO5OL1fLLQ_DL8fVJHFf2LvMm8qymA/edit?usp=sharing"",""รวมเหนือ!I306"")+IMPORTRANGE(""https://docs.google.com/spreadsheets/d/1bWGR5Y7oTgtZIep2hLdTHG-chM0w9aHBSSpJHwm6lak/edit?usp=sharing"","""&amp;"รวมตะวันออกเฉียงเหนือ!I306"")+IMPORTRANGE(""https://docs.google.com/spreadsheets/d/1dCxWUCc_SKNp-qd8qsaa5pPX_-BuQqWJ_-8FnsS4Ki0/edit?usp=sharing"",""รวมกลาง!I306"")+IMPORTRANGE(""https://docs.google.com/spreadsheets/d/1uOzBKYgpuhMUe0xXQLXSct3xZ80hakAMJHdG"&amp;"Jh9616E/edit?usp=sharing"",""รวมใต้!I306"")"),300)</f>
        <v>300</v>
      </c>
      <c r="J306" s="187">
        <f ca="1">IFERROR(__xludf.DUMMYFUNCTION("IMPORTRANGE(""https://docs.google.com/spreadsheets/d/1yGy89TWty5kAjAO5OL1fLLQ_DL8fVJHFf2LvMm8qymA/edit?usp=sharing"",""รวมเหนือ!J306"")+IMPORTRANGE(""https://docs.google.com/spreadsheets/d/1bWGR5Y7oTgtZIep2hLdTHG-chM0w9aHBSSpJHwm6lak/edit?usp=sharing"","""&amp;"รวมตะวันออกเฉียงเหนือ!J306"")+IMPORTRANGE(""https://docs.google.com/spreadsheets/d/1dCxWUCc_SKNp-qd8qsaa5pPX_-BuQqWJ_-8FnsS4Ki0/edit?usp=sharing"",""รวมกลาง!J306"")+IMPORTRANGE(""https://docs.google.com/spreadsheets/d/1uOzBKYgpuhMUe0xXQLXSct3xZ80hakAMJHdG"&amp;"Jh9616E/edit?usp=sharing"",""รวมใต้!J306"")"),0)</f>
        <v>0</v>
      </c>
      <c r="K306" s="221">
        <f ca="1">IF(I306&gt;0,J306*100/I306,0)</f>
        <v>0</v>
      </c>
      <c r="L306" s="165"/>
      <c r="M306" s="165"/>
      <c r="N306" s="165"/>
      <c r="O306" s="180"/>
      <c r="P306" s="180"/>
    </row>
    <row r="307" spans="1:16" ht="21.75" customHeight="1" x14ac:dyDescent="0.3">
      <c r="A307" s="174"/>
      <c r="B307" s="175"/>
      <c r="C307" s="175"/>
      <c r="D307" s="192"/>
      <c r="E307" s="193" t="s">
        <v>51</v>
      </c>
      <c r="F307" s="194"/>
      <c r="G307" s="195"/>
      <c r="H307" s="185"/>
      <c r="I307" s="186"/>
      <c r="J307" s="186">
        <f ca="1">IFERROR(__xludf.DUMMYFUNCTION("IMPORTRANGE(""https://docs.google.com/spreadsheets/d/1SX6NBoVAgQJ6U1MVXOaj8PK2l7WJ3RER9xtqwdhxkhw/edit?usp=sharing"",""กาญจนบุรี!J212"")"),0)</f>
        <v>0</v>
      </c>
      <c r="K307" s="221"/>
      <c r="L307" s="165"/>
      <c r="M307" s="165"/>
      <c r="N307" s="165"/>
      <c r="O307" s="180"/>
      <c r="P307" s="180"/>
    </row>
    <row r="308" spans="1:16" ht="21.75" customHeight="1" x14ac:dyDescent="0.3">
      <c r="A308" s="174"/>
      <c r="B308" s="175"/>
      <c r="C308" s="175"/>
      <c r="D308" s="202">
        <v>3</v>
      </c>
      <c r="E308" s="203" t="s">
        <v>52</v>
      </c>
      <c r="F308" s="204"/>
      <c r="G308" s="205"/>
      <c r="H308" s="185"/>
      <c r="I308" s="186"/>
      <c r="J308" s="325">
        <f ca="1">IFERROR(__xludf.DUMMYFUNCTION("IMPORTRANGE(""https://docs.google.com/spreadsheets/d/1yGy89TWty5kAjAO5OL1fLLQ_DL8fVJHFf2LvMm8qymA/edit?usp=sharing"",""รวมเหนือ!J308"")+IMPORTRANGE(""https://docs.google.com/spreadsheets/d/1bWGR5Y7oTgtZIep2hLdTHG-chM0w9aHBSSpJHwm6lak/edit?usp=sharing"","""&amp;"รวมตะวันออกเฉียงเหนือ!J308"")+IMPORTRANGE(""https://docs.google.com/spreadsheets/d/1dCxWUCc_SKNp-qd8qsaa5pPX_-BuQqWJ_-8FnsS4Ki0/edit?usp=sharing"",""รวมกลาง!J308"")+IMPORTRANGE(""https://docs.google.com/spreadsheets/d/1uOzBKYgpuhMUe0xXQLXSct3xZ80hakAMJHdG"&amp;"Jh9616E/edit?usp=sharing"",""รวมใต้!J308"")"),0)</f>
        <v>0</v>
      </c>
      <c r="K308" s="221"/>
      <c r="L308" s="165"/>
      <c r="M308" s="165"/>
      <c r="N308" s="165"/>
      <c r="O308" s="180"/>
      <c r="P308" s="180"/>
    </row>
    <row r="309" spans="1:16" ht="21.75" customHeight="1" x14ac:dyDescent="0.3">
      <c r="A309" s="326"/>
      <c r="B309" s="327" t="s">
        <v>114</v>
      </c>
      <c r="C309" s="328"/>
      <c r="D309" s="329"/>
      <c r="E309" s="327"/>
      <c r="F309" s="327"/>
      <c r="G309" s="330"/>
      <c r="H309" s="331" t="s">
        <v>115</v>
      </c>
      <c r="I309" s="332">
        <f ca="1">IFERROR(__xludf.DUMMYFUNCTION("IMPORTRANGE(""https://docs.google.com/spreadsheets/d/1yGy89TWty5kAjAO5OL1fLLQ_DL8fVJHFf2LvMm8qymA/edit?usp=sharing"",""รวมเหนือ!I309"")+IMPORTRANGE(""https://docs.google.com/spreadsheets/d/1bWGR5Y7oTgtZIep2hLdTHG-chM0w9aHBSSpJHwm6lak/edit?usp=sharing"","""&amp;"รวมตะวันออกเฉียงเหนือ!I309"")+IMPORTRANGE(""https://docs.google.com/spreadsheets/d/1dCxWUCc_SKNp-qd8qsaa5pPX_-BuQqWJ_-8FnsS4Ki0/edit?usp=sharing"",""รวมกลาง!I309"")+IMPORTRANGE(""https://docs.google.com/spreadsheets/d/1uOzBKYgpuhMUe0xXQLXSct3xZ80hakAMJHdG"&amp;"Jh9616E/edit?usp=sharing"",""รวมใต้!I309"")"),31)</f>
        <v>31</v>
      </c>
      <c r="J309" s="332">
        <f ca="1">IFERROR(__xludf.DUMMYFUNCTION("IMPORTRANGE(""https://docs.google.com/spreadsheets/d/1yGy89TWty5kAjAO5OL1fLLQ_DL8fVJHFf2LvMm8qymA/edit?usp=sharing"",""รวมเหนือ!J309"")+IMPORTRANGE(""https://docs.google.com/spreadsheets/d/1bWGR5Y7oTgtZIep2hLdTHG-chM0w9aHBSSpJHwm6lak/edit?usp=sharing"","""&amp;"รวมตะวันออกเฉียงเหนือ!J309"")+IMPORTRANGE(""https://docs.google.com/spreadsheets/d/1dCxWUCc_SKNp-qd8qsaa5pPX_-BuQqWJ_-8FnsS4Ki0/edit?usp=sharing"",""รวมกลาง!J309"")+IMPORTRANGE(""https://docs.google.com/spreadsheets/d/1uOzBKYgpuhMUe0xXQLXSct3xZ80hakAMJHdG"&amp;"Jh9616E/edit?usp=sharing"",""รวมใต้!J309"")"),19)</f>
        <v>19</v>
      </c>
      <c r="K309" s="333">
        <f ca="1">IF(I309&gt;0,J309*100/I309,0)</f>
        <v>61.29032258064516</v>
      </c>
      <c r="L309" s="334"/>
      <c r="M309" s="334"/>
      <c r="N309" s="334"/>
      <c r="O309" s="333"/>
      <c r="P309" s="333"/>
    </row>
    <row r="310" spans="1:16" ht="21.75" customHeight="1" x14ac:dyDescent="0.4">
      <c r="A310" s="146"/>
      <c r="B310" s="147"/>
      <c r="C310" s="148" t="s">
        <v>16</v>
      </c>
      <c r="D310" s="533" t="s">
        <v>17</v>
      </c>
      <c r="E310" s="534"/>
      <c r="F310" s="534"/>
      <c r="G310" s="534"/>
      <c r="H310" s="149" t="s">
        <v>12</v>
      </c>
      <c r="I310" s="335"/>
      <c r="J310" s="335"/>
      <c r="K310" s="336"/>
      <c r="L310" s="152">
        <f t="shared" ref="L310:N310" ca="1" si="96">L311+L312</f>
        <v>13101500</v>
      </c>
      <c r="M310" s="152">
        <f t="shared" ca="1" si="96"/>
        <v>11223400</v>
      </c>
      <c r="N310" s="152">
        <f t="shared" ca="1" si="96"/>
        <v>2215586.31</v>
      </c>
      <c r="O310" s="151">
        <f t="shared" ref="O310:O312" ca="1" si="97">IF(L310&gt;0,N310*100/L310,0)</f>
        <v>16.910936228676107</v>
      </c>
      <c r="P310" s="151">
        <f t="shared" ref="P310:P314" ca="1" si="98">IF(M310&gt;0,N310*100/M310,0)</f>
        <v>19.740776502664076</v>
      </c>
    </row>
    <row r="311" spans="1:16" ht="21.75" customHeight="1" x14ac:dyDescent="0.4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5"/>
      <c r="J311" s="335"/>
      <c r="K311" s="336"/>
      <c r="L311" s="157">
        <f t="shared" ref="L311:N311" ca="1" si="99">L313+L317</f>
        <v>3722300</v>
      </c>
      <c r="M311" s="157">
        <f t="shared" ca="1" si="99"/>
        <v>2435300</v>
      </c>
      <c r="N311" s="157">
        <f t="shared" ca="1" si="99"/>
        <v>842932.64</v>
      </c>
      <c r="O311" s="156">
        <f t="shared" ca="1" si="97"/>
        <v>22.645478333288558</v>
      </c>
      <c r="P311" s="156">
        <f t="shared" ca="1" si="98"/>
        <v>34.613092432143887</v>
      </c>
    </row>
    <row r="312" spans="1:16" ht="21.75" customHeight="1" x14ac:dyDescent="0.4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5"/>
      <c r="J312" s="335"/>
      <c r="K312" s="336"/>
      <c r="L312" s="157">
        <f t="shared" ref="L312:N312" ca="1" si="100">L314+L318</f>
        <v>9379200</v>
      </c>
      <c r="M312" s="157">
        <f t="shared" ca="1" si="100"/>
        <v>8788100</v>
      </c>
      <c r="N312" s="157">
        <f t="shared" ca="1" si="100"/>
        <v>1372653.67</v>
      </c>
      <c r="O312" s="156">
        <f t="shared" ca="1" si="97"/>
        <v>14.635082629648585</v>
      </c>
      <c r="P312" s="156">
        <f t="shared" ca="1" si="98"/>
        <v>15.619458927413206</v>
      </c>
    </row>
    <row r="313" spans="1:16" ht="21.75" customHeight="1" x14ac:dyDescent="0.4">
      <c r="A313" s="158"/>
      <c r="B313" s="159"/>
      <c r="C313" s="159" t="s">
        <v>16</v>
      </c>
      <c r="D313" s="535" t="s">
        <v>20</v>
      </c>
      <c r="E313" s="532"/>
      <c r="F313" s="532"/>
      <c r="G313" s="160" t="s">
        <v>38</v>
      </c>
      <c r="H313" s="168" t="s">
        <v>12</v>
      </c>
      <c r="I313" s="162" t="s">
        <v>39</v>
      </c>
      <c r="J313" s="162"/>
      <c r="K313" s="163"/>
      <c r="L313" s="164">
        <f ca="1">IFERROR(__xludf.DUMMYFUNCTION("IMPORTRANGE(""https://docs.google.com/spreadsheets/d/1Yj_ptqi66GCucihVvJfMjLAmec39IyEx_6qawtMGysU/edit?usp=sharing"",""สบก!CX15"")"),3722300)</f>
        <v>3722300</v>
      </c>
      <c r="M313" s="164">
        <f ca="1">IFERROR(__xludf.DUMMYFUNCTION("IMPORTRANGE(""https://docs.google.com/spreadsheets/d/1Yj_ptqi66GCucihVvJfMjLAmec39IyEx_6qawtMGysU/edit?usp=sharing"",""สบก!DC15"")"),2435300)</f>
        <v>2435300</v>
      </c>
      <c r="N313" s="164">
        <f ca="1">IFERROR(__xludf.DUMMYFUNCTION("IMPORTRANGE(""https://docs.google.com/spreadsheets/d/1Yj_ptqi66GCucihVvJfMjLAmec39IyEx_6qawtMGysU/edit?usp=sharing"",""สบก!DD15"")"),842932.64)</f>
        <v>842932.64</v>
      </c>
      <c r="O313" s="165">
        <f ca="1">+IF(L313&gt;0,N313*100/L313,0)</f>
        <v>22.645478333288558</v>
      </c>
      <c r="P313" s="165">
        <f t="shared" ca="1" si="98"/>
        <v>34.613092432143887</v>
      </c>
    </row>
    <row r="314" spans="1:16" ht="21.75" customHeight="1" x14ac:dyDescent="0.3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8" t="s">
        <v>12</v>
      </c>
      <c r="I314" s="162"/>
      <c r="J314" s="162"/>
      <c r="K314" s="163"/>
      <c r="L314" s="164">
        <f ca="1">IFERROR(__xludf.DUMMYFUNCTION("IMPORTRANGE(""https://docs.google.com/spreadsheets/d/1yGy89TWty5kAjAO5OL1fLLQ_DL8fVJHFf2LvMm8qymA/edit?usp=sharing"",""รวมเหนือ!L314"")+IMPORTRANGE(""https://docs.google.com/spreadsheets/d/1bWGR5Y7oTgtZIep2hLdTHG-chM0w9aHBSSpJHwm6lak/edit?usp=sharing"","""&amp;"รวมตะวันออกเฉียงเหนือ!L314"")+IMPORTRANGE(""https://docs.google.com/spreadsheets/d/1dCxWUCc_SKNp-qd8qsaa5pPX_-BuQqWJ_-8FnsS4Ki0/edit?usp=sharing"",""รวมกลาง!L314"")+IMPORTRANGE(""https://docs.google.com/spreadsheets/d/1uOzBKYgpuhMUe0xXQLXSct3xZ80hakAMJHdG"&amp;"Jh9616E/edit?usp=sharing"",""รวมใต้!L314"")"),3429200)</f>
        <v>3429200</v>
      </c>
      <c r="M314" s="164">
        <f ca="1">IFERROR(__xludf.DUMMYFUNCTION("IMPORTRANGE(""https://docs.google.com/spreadsheets/d/1yGy89TWty5kAjAO5OL1fLLQ_DL8fVJHFf2LvMm8qymA/edit?usp=sharing"",""รวมเหนือ!M314"")+IMPORTRANGE(""https://docs.google.com/spreadsheets/d/1bWGR5Y7oTgtZIep2hLdTHG-chM0w9aHBSSpJHwm6lak/edit?usp=sharing"","""&amp;"รวมตะวันออกเฉียงเหนือ!M314"")+IMPORTRANGE(""https://docs.google.com/spreadsheets/d/1dCxWUCc_SKNp-qd8qsaa5pPX_-BuQqWJ_-8FnsS4Ki0/edit?usp=sharing"",""รวมกลาง!M314"")+IMPORTRANGE(""https://docs.google.com/spreadsheets/d/1uOzBKYgpuhMUe0xXQLXSct3xZ80hakAMJHdG"&amp;"Jh9616E/edit?usp=sharing"",""รวมใต้!M314"")"),2838100)</f>
        <v>2838100</v>
      </c>
      <c r="N314" s="165">
        <f ca="1">IFERROR(__xludf.DUMMYFUNCTION("IMPORTRANGE(""https://docs.google.com/spreadsheets/d/1yGy89TWty5kAjAO5OL1fLLQ_DL8fVJHFf2LvMm8qymA/edit?usp=sharing"",""รวมเหนือ!N314"")+IMPORTRANGE(""https://docs.google.com/spreadsheets/d/1bWGR5Y7oTgtZIep2hLdTHG-chM0w9aHBSSpJHwm6lak/edit?usp=sharing"","""&amp;"รวมตะวันออกเฉียงเหนือ!N314"")+IMPORTRANGE(""https://docs.google.com/spreadsheets/d/1dCxWUCc_SKNp-qd8qsaa5pPX_-BuQqWJ_-8FnsS4Ki0/edit?usp=sharing"",""รวมกลาง!N314"")+IMPORTRANGE(""https://docs.google.com/spreadsheets/d/1uOzBKYgpuhMUe0xXQLXSct3xZ80hakAMJHdG"&amp;"Jh9616E/edit?usp=sharing"",""รวมใต้!N314"")"),1372653.67)</f>
        <v>1372653.67</v>
      </c>
      <c r="O314" s="165">
        <f ca="1">IF(L314&gt;0,N314*100/L314,0)</f>
        <v>40.02839350285781</v>
      </c>
      <c r="P314" s="165">
        <f t="shared" ca="1" si="98"/>
        <v>48.365232726119586</v>
      </c>
    </row>
    <row r="315" spans="1:16" ht="21.75" customHeight="1" x14ac:dyDescent="0.4">
      <c r="A315" s="158"/>
      <c r="B315" s="159"/>
      <c r="C315" s="159"/>
      <c r="D315" s="166"/>
      <c r="E315" s="167"/>
      <c r="F315" s="167"/>
      <c r="G315" s="34" t="s">
        <v>21</v>
      </c>
      <c r="H315" s="168" t="s">
        <v>12</v>
      </c>
      <c r="I315" s="162"/>
      <c r="J315" s="162"/>
      <c r="K315" s="163"/>
      <c r="L315" s="164">
        <f ca="1">IFERROR(__xludf.DUMMYFUNCTION("IMPORTRANGE(""https://docs.google.com/spreadsheets/d/1yGy89TWty5kAjAO5OL1fLLQ_DL8fVJHFf2LvMm8qymA/edit?usp=sharing"",""รวมเหนือ!L315"")+IMPORTRANGE(""https://docs.google.com/spreadsheets/d/1bWGR5Y7oTgtZIep2hLdTHG-chM0w9aHBSSpJHwm6lak/edit?usp=sharing"","""&amp;"รวมตะวันออกเฉียงเหนือ!L315"")+IMPORTRANGE(""https://docs.google.com/spreadsheets/d/1dCxWUCc_SKNp-qd8qsaa5pPX_-BuQqWJ_-8FnsS4Ki0/edit?usp=sharing"",""รวมกลาง!L315"")+IMPORTRANGE(""https://docs.google.com/spreadsheets/d/1uOzBKYgpuhMUe0xXQLXSct3xZ80hakAMJHdG"&amp;"Jh9616E/edit?usp=sharing"",""รวมใต้!L315"")"),0)</f>
        <v>0</v>
      </c>
      <c r="M315" s="164"/>
      <c r="N315" s="164"/>
      <c r="O315" s="165"/>
      <c r="P315" s="165"/>
    </row>
    <row r="316" spans="1:16" ht="21.75" customHeight="1" x14ac:dyDescent="0.4">
      <c r="A316" s="158"/>
      <c r="B316" s="159"/>
      <c r="C316" s="159"/>
      <c r="D316" s="166"/>
      <c r="E316" s="167"/>
      <c r="F316" s="167"/>
      <c r="G316" s="34" t="s">
        <v>22</v>
      </c>
      <c r="H316" s="168" t="s">
        <v>12</v>
      </c>
      <c r="I316" s="162"/>
      <c r="J316" s="186"/>
      <c r="K316" s="221"/>
      <c r="L316" s="164">
        <f ca="1">IFERROR(__xludf.DUMMYFUNCTION("IMPORTRANGE(""https://docs.google.com/spreadsheets/d/1yGy89TWty5kAjAO5OL1fLLQ_DL8fVJHFf2LvMm8qymA/edit?usp=sharing"",""รวมเหนือ!L316"")+IMPORTRANGE(""https://docs.google.com/spreadsheets/d/1bWGR5Y7oTgtZIep2hLdTHG-chM0w9aHBSSpJHwm6lak/edit?usp=sharing"","""&amp;"รวมตะวันออกเฉียงเหนือ!L316"")+IMPORTRANGE(""https://docs.google.com/spreadsheets/d/1dCxWUCc_SKNp-qd8qsaa5pPX_-BuQqWJ_-8FnsS4Ki0/edit?usp=sharing"",""รวมกลาง!L316"")+IMPORTRANGE(""https://docs.google.com/spreadsheets/d/1uOzBKYgpuhMUe0xXQLXSct3xZ80hakAMJHdG"&amp;"Jh9616E/edit?usp=sharing"",""รวมใต้!L316"")"),3429200)</f>
        <v>3429200</v>
      </c>
      <c r="M316" s="164"/>
      <c r="N316" s="164"/>
      <c r="O316" s="165"/>
      <c r="P316" s="165"/>
    </row>
    <row r="317" spans="1:16" ht="21.75" customHeight="1" x14ac:dyDescent="0.4">
      <c r="A317" s="169"/>
      <c r="B317" s="80"/>
      <c r="C317" s="81" t="s">
        <v>16</v>
      </c>
      <c r="D317" s="531" t="s">
        <v>23</v>
      </c>
      <c r="E317" s="532"/>
      <c r="F317" s="86"/>
      <c r="G317" s="82" t="s">
        <v>18</v>
      </c>
      <c r="H317" s="170" t="s">
        <v>12</v>
      </c>
      <c r="I317" s="162"/>
      <c r="J317" s="186"/>
      <c r="K317" s="221"/>
      <c r="L317" s="41">
        <f ca="1">IFERROR(__xludf.DUMMYFUNCTION("IMPORTRANGE(""https://docs.google.com/spreadsheets/d/1Yj_ptqi66GCucihVvJfMjLAmec39IyEx_6qawtMGysU/edit?usp=sharing"",""สบก!DA15"")"),0)</f>
        <v>0</v>
      </c>
      <c r="M317" s="41"/>
      <c r="N317" s="41">
        <f ca="1">IFERROR(__xludf.DUMMYFUNCTION("IMPORTRANGE(""https://docs.google.com/spreadsheets/d/1Yj_ptqi66GCucihVvJfMjLAmec39IyEx_6qawtMGysU/edit?usp=sharing"",""สบก!DE15"")"),0)</f>
        <v>0</v>
      </c>
      <c r="O317" s="120"/>
      <c r="P317" s="120"/>
    </row>
    <row r="318" spans="1:16" ht="21.75" customHeight="1" x14ac:dyDescent="0.4">
      <c r="A318" s="171"/>
      <c r="B318" s="89"/>
      <c r="C318" s="89"/>
      <c r="D318" s="172"/>
      <c r="E318" s="90"/>
      <c r="F318" s="90"/>
      <c r="G318" s="91" t="s">
        <v>19</v>
      </c>
      <c r="H318" s="173" t="s">
        <v>12</v>
      </c>
      <c r="I318" s="162"/>
      <c r="J318" s="186"/>
      <c r="K318" s="221"/>
      <c r="L318" s="49">
        <f ca="1">IFERROR(__xludf.DUMMYFUNCTION("IMPORTRANGE(""https://docs.google.com/spreadsheets/d/1yGy89TWty5kAjAO5OL1fLLQ_DL8fVJHFf2LvMm8qymA/edit?usp=sharing"",""รวมเหนือ!L318"")+IMPORTRANGE(""https://docs.google.com/spreadsheets/d/1bWGR5Y7oTgtZIep2hLdTHG-chM0w9aHBSSpJHwm6lak/edit?usp=sharing"","""&amp;"รวมตะวันออกเฉียงเหนือ!L318"")+IMPORTRANGE(""https://docs.google.com/spreadsheets/d/1dCxWUCc_SKNp-qd8qsaa5pPX_-BuQqWJ_-8FnsS4Ki0/edit?usp=sharing"",""รวมกลาง!L318"")+IMPORTRANGE(""https://docs.google.com/spreadsheets/d/1uOzBKYgpuhMUe0xXQLXSct3xZ80hakAMJHdG"&amp;"Jh9616E/edit?usp=sharing"",""รวมใต้!L318"")"),5950000)</f>
        <v>5950000</v>
      </c>
      <c r="M318" s="49">
        <f ca="1">IFERROR(__xludf.DUMMYFUNCTION("IMPORTRANGE(""https://docs.google.com/spreadsheets/d/1yGy89TWty5kAjAO5OL1fLLQ_DL8fVJHFf2LvMm8qymA/edit?usp=sharing"",""รวมเหนือ!M318"")+IMPORTRANGE(""https://docs.google.com/spreadsheets/d/1bWGR5Y7oTgtZIep2hLdTHG-chM0w9aHBSSpJHwm6lak/edit?usp=sharing"","""&amp;"รวมตะวันออกเฉียงเหนือ!M318"")+IMPORTRANGE(""https://docs.google.com/spreadsheets/d/1dCxWUCc_SKNp-qd8qsaa5pPX_-BuQqWJ_-8FnsS4Ki0/edit?usp=sharing"",""รวมกลาง!M318"")+IMPORTRANGE(""https://docs.google.com/spreadsheets/d/1uOzBKYgpuhMUe0xXQLXSct3xZ80hakAMJHdG"&amp;"Jh9616E/edit?usp=sharing"",""รวมใต้!M318"")"),5950000)</f>
        <v>5950000</v>
      </c>
      <c r="N318" s="49">
        <f ca="1">IFERROR(__xludf.DUMMYFUNCTION("IMPORTRANGE(""https://docs.google.com/spreadsheets/d/1yGy89TWty5kAjAO5OL1fLLQ_DL8fVJHFf2LvMm8qymA/edit?usp=sharing"",""รวมเหนือ!N318"")+IMPORTRANGE(""https://docs.google.com/spreadsheets/d/1bWGR5Y7oTgtZIep2hLdTHG-chM0w9aHBSSpJHwm6lak/edit?usp=sharing"","""&amp;"รวมตะวันออกเฉียงเหนือ!N318"")+IMPORTRANGE(""https://docs.google.com/spreadsheets/d/1dCxWUCc_SKNp-qd8qsaa5pPX_-BuQqWJ_-8FnsS4Ki0/edit?usp=sharing"",""รวมกลาง!N318"")+IMPORTRANGE(""https://docs.google.com/spreadsheets/d/1uOzBKYgpuhMUe0xXQLXSct3xZ80hakAMJHdG"&amp;"Jh9616E/edit?usp=sharing"",""รวมใต้!N318"")"),0)</f>
        <v>0</v>
      </c>
      <c r="O318" s="121">
        <f ca="1">IF(L318&gt;0,N318*100/L318,0)</f>
        <v>0</v>
      </c>
      <c r="P318" s="121">
        <f ca="1">IF(M318&gt;0,N318*100/M318,0)</f>
        <v>0</v>
      </c>
    </row>
    <row r="319" spans="1:16" ht="21.75" customHeight="1" x14ac:dyDescent="0.3">
      <c r="A319" s="174"/>
      <c r="B319" s="175"/>
      <c r="C319" s="159" t="s">
        <v>16</v>
      </c>
      <c r="D319" s="176" t="s">
        <v>41</v>
      </c>
      <c r="E319" s="177"/>
      <c r="F319" s="177"/>
      <c r="G319" s="178"/>
      <c r="H319" s="179"/>
      <c r="I319" s="162"/>
      <c r="J319" s="186"/>
      <c r="K319" s="221"/>
      <c r="L319" s="165"/>
      <c r="M319" s="165"/>
      <c r="N319" s="165"/>
      <c r="O319" s="180"/>
      <c r="P319" s="180"/>
    </row>
    <row r="320" spans="1:16" ht="21.75" customHeight="1" x14ac:dyDescent="0.3">
      <c r="A320" s="174"/>
      <c r="B320" s="175"/>
      <c r="C320" s="175"/>
      <c r="D320" s="181">
        <v>1</v>
      </c>
      <c r="E320" s="182" t="s">
        <v>42</v>
      </c>
      <c r="F320" s="183"/>
      <c r="G320" s="184"/>
      <c r="H320" s="185"/>
      <c r="I320" s="186"/>
      <c r="J320" s="186">
        <f ca="1">IFERROR(__xludf.DUMMYFUNCTION("IMPORTRANGE(""https://docs.google.com/spreadsheets/d/1yGy89TWty5kAjAO5OL1fLLQ_DL8fVJHFf2LvMm8qymA/edit?usp=sharing"",""รวมเหนือ!J320"")+IMPORTRANGE(""https://docs.google.com/spreadsheets/d/1bWGR5Y7oTgtZIep2hLdTHG-chM0w9aHBSSpJHwm6lak/edit?usp=sharing"","""&amp;"รวมตะวันออกเฉียงเหนือ!J320"")+IMPORTRANGE(""https://docs.google.com/spreadsheets/d/1dCxWUCc_SKNp-qd8qsaa5pPX_-BuQqWJ_-8FnsS4Ki0/edit?usp=sharing"",""รวมกลาง!J320"")+IMPORTRANGE(""https://docs.google.com/spreadsheets/d/1uOzBKYgpuhMUe0xXQLXSct3xZ80hakAMJHdG"&amp;"Jh9616E/edit?usp=sharing"",""รวมใต้!J320"")"),0)</f>
        <v>0</v>
      </c>
      <c r="K320" s="221"/>
      <c r="L320" s="165"/>
      <c r="M320" s="165"/>
      <c r="N320" s="165"/>
      <c r="O320" s="180"/>
      <c r="P320" s="180"/>
    </row>
    <row r="321" spans="1:16" ht="21.75" customHeight="1" x14ac:dyDescent="0.3">
      <c r="A321" s="174"/>
      <c r="B321" s="175"/>
      <c r="C321" s="175"/>
      <c r="D321" s="188">
        <v>2</v>
      </c>
      <c r="E321" s="189" t="s">
        <v>43</v>
      </c>
      <c r="F321" s="190"/>
      <c r="G321" s="191"/>
      <c r="H321" s="185"/>
      <c r="I321" s="186"/>
      <c r="J321" s="186">
        <f ca="1">IFERROR(__xludf.DUMMYFUNCTION("IMPORTRANGE(""https://docs.google.com/spreadsheets/d/1yGy89TWty5kAjAO5OL1fLLQ_DL8fVJHFf2LvMm8qymA/edit?usp=sharing"",""รวมเหนือ!J321"")+IMPORTRANGE(""https://docs.google.com/spreadsheets/d/1bWGR5Y7oTgtZIep2hLdTHG-chM0w9aHBSSpJHwm6lak/edit?usp=sharing"","""&amp;"รวมตะวันออกเฉียงเหนือ!J321"")+IMPORTRANGE(""https://docs.google.com/spreadsheets/d/1dCxWUCc_SKNp-qd8qsaa5pPX_-BuQqWJ_-8FnsS4Ki0/edit?usp=sharing"",""รวมกลาง!J321"")+IMPORTRANGE(""https://docs.google.com/spreadsheets/d/1uOzBKYgpuhMUe0xXQLXSct3xZ80hakAMJHdG"&amp;"Jh9616E/edit?usp=sharing"",""รวมใต้!J321"")"),12)</f>
        <v>12</v>
      </c>
      <c r="K321" s="221"/>
      <c r="L321" s="165" t="s">
        <v>39</v>
      </c>
      <c r="M321" s="165"/>
      <c r="N321" s="165" t="s">
        <v>39</v>
      </c>
      <c r="O321" s="180"/>
      <c r="P321" s="180"/>
    </row>
    <row r="322" spans="1:16" ht="21.75" customHeight="1" x14ac:dyDescent="0.3">
      <c r="A322" s="174"/>
      <c r="B322" s="175"/>
      <c r="C322" s="175"/>
      <c r="D322" s="192"/>
      <c r="E322" s="193" t="s">
        <v>44</v>
      </c>
      <c r="F322" s="194"/>
      <c r="G322" s="195"/>
      <c r="H322" s="185"/>
      <c r="I322" s="186"/>
      <c r="J322" s="186">
        <f ca="1">IFERROR(__xludf.DUMMYFUNCTION("IMPORTRANGE(""https://docs.google.com/spreadsheets/d/1yGy89TWty5kAjAO5OL1fLLQ_DL8fVJHFf2LvMm8qymA/edit?usp=sharing"",""รวมเหนือ!J322"")+IMPORTRANGE(""https://docs.google.com/spreadsheets/d/1bWGR5Y7oTgtZIep2hLdTHG-chM0w9aHBSSpJHwm6lak/edit?usp=sharing"","""&amp;"รวมตะวันออกเฉียงเหนือ!J322"")+IMPORTRANGE(""https://docs.google.com/spreadsheets/d/1dCxWUCc_SKNp-qd8qsaa5pPX_-BuQqWJ_-8FnsS4Ki0/edit?usp=sharing"",""รวมกลาง!J322"")+IMPORTRANGE(""https://docs.google.com/spreadsheets/d/1uOzBKYgpuhMUe0xXQLXSct3xZ80hakAMJHdG"&amp;"Jh9616E/edit?usp=sharing"",""รวมใต้!J322"")"),8)</f>
        <v>8</v>
      </c>
      <c r="K322" s="221"/>
      <c r="L322" s="165"/>
      <c r="M322" s="165"/>
      <c r="N322" s="165"/>
      <c r="O322" s="180"/>
      <c r="P322" s="180"/>
    </row>
    <row r="323" spans="1:16" ht="21.75" customHeight="1" x14ac:dyDescent="0.3">
      <c r="A323" s="174"/>
      <c r="B323" s="175"/>
      <c r="C323" s="175"/>
      <c r="D323" s="192"/>
      <c r="E323" s="193" t="s">
        <v>45</v>
      </c>
      <c r="F323" s="194"/>
      <c r="G323" s="195"/>
      <c r="H323" s="185"/>
      <c r="I323" s="186"/>
      <c r="J323" s="186">
        <f ca="1">IFERROR(__xludf.DUMMYFUNCTION("IMPORTRANGE(""https://docs.google.com/spreadsheets/d/1yGy89TWty5kAjAO5OL1fLLQ_DL8fVJHFf2LvMm8qymA/edit?usp=sharing"",""รวมเหนือ!J323"")+IMPORTRANGE(""https://docs.google.com/spreadsheets/d/1bWGR5Y7oTgtZIep2hLdTHG-chM0w9aHBSSpJHwm6lak/edit?usp=sharing"","""&amp;"รวมตะวันออกเฉียงเหนือ!J323"")+IMPORTRANGE(""https://docs.google.com/spreadsheets/d/1dCxWUCc_SKNp-qd8qsaa5pPX_-BuQqWJ_-8FnsS4Ki0/edit?usp=sharing"",""รวมกลาง!J323"")+IMPORTRANGE(""https://docs.google.com/spreadsheets/d/1uOzBKYgpuhMUe0xXQLXSct3xZ80hakAMJHdG"&amp;"Jh9616E/edit?usp=sharing"",""รวมใต้!J323"")"),9)</f>
        <v>9</v>
      </c>
      <c r="K323" s="221"/>
      <c r="L323" s="165"/>
      <c r="M323" s="165"/>
      <c r="N323" s="165"/>
      <c r="O323" s="180"/>
      <c r="P323" s="180"/>
    </row>
    <row r="324" spans="1:16" ht="21.75" customHeight="1" x14ac:dyDescent="0.3">
      <c r="A324" s="174"/>
      <c r="B324" s="175"/>
      <c r="C324" s="175"/>
      <c r="D324" s="192"/>
      <c r="E324" s="196"/>
      <c r="F324" s="193" t="s">
        <v>116</v>
      </c>
      <c r="G324" s="195"/>
      <c r="H324" s="185" t="s">
        <v>115</v>
      </c>
      <c r="I324" s="186">
        <f ca="1">IFERROR(__xludf.DUMMYFUNCTION("IMPORTRANGE(""https://docs.google.com/spreadsheets/d/1yGy89TWty5kAjAO5OL1fLLQ_DL8fVJHFf2LvMm8qymA/edit?usp=sharing"",""รวมเหนือ!I324"")+IMPORTRANGE(""https://docs.google.com/spreadsheets/d/1bWGR5Y7oTgtZIep2hLdTHG-chM0w9aHBSSpJHwm6lak/edit?usp=sharing"","""&amp;"รวมตะวันออกเฉียงเหนือ!I324"")+IMPORTRANGE(""https://docs.google.com/spreadsheets/d/1dCxWUCc_SKNp-qd8qsaa5pPX_-BuQqWJ_-8FnsS4Ki0/edit?usp=sharing"",""รวมกลาง!I324"")+IMPORTRANGE(""https://docs.google.com/spreadsheets/d/1uOzBKYgpuhMUe0xXQLXSct3xZ80hakAMJHdG"&amp;"Jh9616E/edit?usp=sharing"",""รวมใต้!I324"")"),31)</f>
        <v>31</v>
      </c>
      <c r="J324" s="187">
        <f ca="1">IFERROR(__xludf.DUMMYFUNCTION("IMPORTRANGE(""https://docs.google.com/spreadsheets/d/1yGy89TWty5kAjAO5OL1fLLQ_DL8fVJHFf2LvMm8qymA/edit?usp=sharing"",""รวมเหนือ!J324"")+IMPORTRANGE(""https://docs.google.com/spreadsheets/d/1bWGR5Y7oTgtZIep2hLdTHG-chM0w9aHBSSpJHwm6lak/edit?usp=sharing"","""&amp;"รวมตะวันออกเฉียงเหนือ!J324"")+IMPORTRANGE(""https://docs.google.com/spreadsheets/d/1dCxWUCc_SKNp-qd8qsaa5pPX_-BuQqWJ_-8FnsS4Ki0/edit?usp=sharing"",""รวมกลาง!J324"")+IMPORTRANGE(""https://docs.google.com/spreadsheets/d/1uOzBKYgpuhMUe0xXQLXSct3xZ80hakAMJHdG"&amp;"Jh9616E/edit?usp=sharing"",""รวมใต้!J324"")"),19)</f>
        <v>19</v>
      </c>
      <c r="K324" s="221">
        <f ca="1">IF(I324&gt;0,J324*100/I324,0)</f>
        <v>61.29032258064516</v>
      </c>
      <c r="L324" s="165"/>
      <c r="M324" s="165"/>
      <c r="N324" s="165"/>
      <c r="O324" s="180"/>
      <c r="P324" s="180"/>
    </row>
    <row r="325" spans="1:16" ht="21.75" customHeight="1" x14ac:dyDescent="0.3">
      <c r="A325" s="174"/>
      <c r="B325" s="175"/>
      <c r="C325" s="175"/>
      <c r="D325" s="192"/>
      <c r="E325" s="193" t="s">
        <v>51</v>
      </c>
      <c r="F325" s="194"/>
      <c r="G325" s="195"/>
      <c r="H325" s="185"/>
      <c r="I325" s="186"/>
      <c r="J325" s="186">
        <f ca="1">IFERROR(__xludf.DUMMYFUNCTION("IMPORTRANGE(""https://docs.google.com/spreadsheets/d/1yGy89TWty5kAjAO5OL1fLLQ_DL8fVJHFf2LvMm8qymA/edit?usp=sharing"",""รวมเหนือ!J325"")+IMPORTRANGE(""https://docs.google.com/spreadsheets/d/1bWGR5Y7oTgtZIep2hLdTHG-chM0w9aHBSSpJHwm6lak/edit?usp=sharing"","""&amp;"รวมตะวันออกเฉียงเหนือ!J325"")+IMPORTRANGE(""https://docs.google.com/spreadsheets/d/1dCxWUCc_SKNp-qd8qsaa5pPX_-BuQqWJ_-8FnsS4Ki0/edit?usp=sharing"",""รวมกลาง!J325"")+IMPORTRANGE(""https://docs.google.com/spreadsheets/d/1uOzBKYgpuhMUe0xXQLXSct3xZ80hakAMJHdG"&amp;"Jh9616E/edit?usp=sharing"",""รวมใต้!J325"")"),0)</f>
        <v>0</v>
      </c>
      <c r="K325" s="221"/>
      <c r="L325" s="165"/>
      <c r="M325" s="165"/>
      <c r="N325" s="165"/>
      <c r="O325" s="180"/>
      <c r="P325" s="180"/>
    </row>
    <row r="326" spans="1:16" ht="21.75" customHeight="1" x14ac:dyDescent="0.3">
      <c r="A326" s="174"/>
      <c r="B326" s="175"/>
      <c r="C326" s="175"/>
      <c r="D326" s="202">
        <v>3</v>
      </c>
      <c r="E326" s="203" t="s">
        <v>52</v>
      </c>
      <c r="F326" s="204"/>
      <c r="G326" s="205"/>
      <c r="H326" s="185"/>
      <c r="I326" s="186"/>
      <c r="J326" s="206">
        <f ca="1">IFERROR(__xludf.DUMMYFUNCTION("IMPORTRANGE(""https://docs.google.com/spreadsheets/d/1yGy89TWty5kAjAO5OL1fLLQ_DL8fVJHFf2LvMm8qymA/edit?usp=sharing"",""รวมเหนือ!J326"")+IMPORTRANGE(""https://docs.google.com/spreadsheets/d/1bWGR5Y7oTgtZIep2hLdTHG-chM0w9aHBSSpJHwm6lak/edit?usp=sharing"","""&amp;"รวมตะวันออกเฉียงเหนือ!J326"")+IMPORTRANGE(""https://docs.google.com/spreadsheets/d/1dCxWUCc_SKNp-qd8qsaa5pPX_-BuQqWJ_-8FnsS4Ki0/edit?usp=sharing"",""รวมกลาง!J326"")+IMPORTRANGE(""https://docs.google.com/spreadsheets/d/1uOzBKYgpuhMUe0xXQLXSct3xZ80hakAMJHdG"&amp;"Jh9616E/edit?usp=sharing"",""รวมใต้!J326"")"),0)</f>
        <v>0</v>
      </c>
      <c r="K326" s="221"/>
      <c r="L326" s="165"/>
      <c r="M326" s="165"/>
      <c r="N326" s="165"/>
      <c r="O326" s="180"/>
      <c r="P326" s="180"/>
    </row>
    <row r="327" spans="1:16" ht="21.75" customHeight="1" x14ac:dyDescent="0.3">
      <c r="A327" s="303" t="s">
        <v>117</v>
      </c>
      <c r="B327" s="304"/>
      <c r="C327" s="304"/>
      <c r="D327" s="305"/>
      <c r="E327" s="304"/>
      <c r="F327" s="304"/>
      <c r="G327" s="318"/>
      <c r="H327" s="307"/>
      <c r="I327" s="308"/>
      <c r="J327" s="308"/>
      <c r="K327" s="309"/>
      <c r="L327" s="309"/>
      <c r="M327" s="309"/>
      <c r="N327" s="309"/>
      <c r="O327" s="310"/>
      <c r="P327" s="310"/>
    </row>
    <row r="328" spans="1:16" ht="21.75" customHeight="1" x14ac:dyDescent="0.3">
      <c r="A328" s="311"/>
      <c r="B328" s="337" t="s">
        <v>118</v>
      </c>
      <c r="C328" s="324"/>
      <c r="D328" s="312"/>
      <c r="E328" s="312"/>
      <c r="F328" s="312"/>
      <c r="G328" s="313"/>
      <c r="H328" s="314" t="s">
        <v>37</v>
      </c>
      <c r="I328" s="338">
        <f ca="1">IFERROR(__xludf.DUMMYFUNCTION("IMPORTRANGE(""https://docs.google.com/spreadsheets/d/1yGy89TWty5kAjAO5OL1fLLQ_DL8fVJHFf2LvMm8qymA/edit?usp=sharing"",""รวมเหนือ!I328"")+IMPORTRANGE(""https://docs.google.com/spreadsheets/d/1bWGR5Y7oTgtZIep2hLdTHG-chM0w9aHBSSpJHwm6lak/edit?usp=sharing"","""&amp;"รวมตะวันออกเฉียงเหนือ!I328"")+IMPORTRANGE(""https://docs.google.com/spreadsheets/d/1dCxWUCc_SKNp-qd8qsaa5pPX_-BuQqWJ_-8FnsS4Ki0/edit?usp=sharing"",""รวมกลาง!I328"")+IMPORTRANGE(""https://docs.google.com/spreadsheets/d/1uOzBKYgpuhMUe0xXQLXSct3xZ80hakAMJHdG"&amp;"Jh9616E/edit?usp=sharing"",""รวมใต้!I328"")"),23500)</f>
        <v>23500</v>
      </c>
      <c r="J328" s="338">
        <f ca="1">IFERROR(__xludf.DUMMYFUNCTION("IMPORTRANGE(""https://docs.google.com/spreadsheets/d/1yGy89TWty5kAjAO5OL1fLLQ_DL8fVJHFf2LvMm8qymA/edit?usp=sharing"",""รวมเหนือ!J328"")+IMPORTRANGE(""https://docs.google.com/spreadsheets/d/1bWGR5Y7oTgtZIep2hLdTHG-chM0w9aHBSSpJHwm6lak/edit?usp=sharing"","""&amp;"รวมตะวันออกเฉียงเหนือ!J328"")+IMPORTRANGE(""https://docs.google.com/spreadsheets/d/1dCxWUCc_SKNp-qd8qsaa5pPX_-BuQqWJ_-8FnsS4Ki0/edit?usp=sharing"",""รวมกลาง!J328"")+IMPORTRANGE(""https://docs.google.com/spreadsheets/d/1uOzBKYgpuhMUe0xXQLXSct3xZ80hakAMJHdG"&amp;"Jh9616E/edit?usp=sharing"",""รวมใต้!J328"")"),11712)</f>
        <v>11712</v>
      </c>
      <c r="K328" s="316">
        <f ca="1">IF(I328&gt;0,J328*100/I328,0)</f>
        <v>49.838297872340426</v>
      </c>
      <c r="L328" s="317"/>
      <c r="M328" s="317"/>
      <c r="N328" s="317"/>
      <c r="O328" s="316"/>
      <c r="P328" s="316"/>
    </row>
    <row r="329" spans="1:16" ht="21.75" customHeight="1" x14ac:dyDescent="0.4">
      <c r="A329" s="146"/>
      <c r="B329" s="147"/>
      <c r="C329" s="148" t="s">
        <v>16</v>
      </c>
      <c r="D329" s="533" t="s">
        <v>17</v>
      </c>
      <c r="E329" s="534"/>
      <c r="F329" s="534"/>
      <c r="G329" s="534"/>
      <c r="H329" s="149" t="s">
        <v>12</v>
      </c>
      <c r="I329" s="162"/>
      <c r="J329" s="162"/>
      <c r="K329" s="163"/>
      <c r="L329" s="152">
        <f t="shared" ref="L329:N329" ca="1" si="101">L330+L331</f>
        <v>155508000</v>
      </c>
      <c r="M329" s="152">
        <f t="shared" ca="1" si="101"/>
        <v>126691200</v>
      </c>
      <c r="N329" s="152">
        <f t="shared" ca="1" si="101"/>
        <v>72271971.969999999</v>
      </c>
      <c r="O329" s="151">
        <f t="shared" ref="O329:O331" ca="1" si="102">IF(L329&gt;0,N329*100/L329,0)</f>
        <v>46.474761407773236</v>
      </c>
      <c r="P329" s="151">
        <f t="shared" ref="P329:P333" ca="1" si="103">IF(M329&gt;0,N329*100/M329,0)</f>
        <v>57.045771111174254</v>
      </c>
    </row>
    <row r="330" spans="1:16" ht="21.75" customHeight="1" x14ac:dyDescent="0.4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ca="1" si="104">L332+L336</f>
        <v>80978010</v>
      </c>
      <c r="M330" s="157">
        <f t="shared" ca="1" si="104"/>
        <v>71900810</v>
      </c>
      <c r="N330" s="157">
        <f t="shared" ca="1" si="104"/>
        <v>34322975.420000002</v>
      </c>
      <c r="O330" s="156">
        <f t="shared" ca="1" si="102"/>
        <v>42.385550620470916</v>
      </c>
      <c r="P330" s="156">
        <f t="shared" ca="1" si="103"/>
        <v>47.736562939972444</v>
      </c>
    </row>
    <row r="331" spans="1:16" ht="21.75" customHeight="1" x14ac:dyDescent="0.4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5">L333+L337</f>
        <v>74529990</v>
      </c>
      <c r="M331" s="157">
        <f t="shared" ca="1" si="105"/>
        <v>54790390</v>
      </c>
      <c r="N331" s="157">
        <f t="shared" ca="1" si="105"/>
        <v>37948996.549999997</v>
      </c>
      <c r="O331" s="156">
        <f t="shared" ca="1" si="102"/>
        <v>50.917753443949202</v>
      </c>
      <c r="P331" s="156">
        <f t="shared" ca="1" si="103"/>
        <v>69.262139857007767</v>
      </c>
    </row>
    <row r="332" spans="1:16" ht="21.75" customHeight="1" x14ac:dyDescent="0.4">
      <c r="A332" s="158"/>
      <c r="B332" s="159"/>
      <c r="C332" s="159" t="s">
        <v>16</v>
      </c>
      <c r="D332" s="535" t="s">
        <v>20</v>
      </c>
      <c r="E332" s="532"/>
      <c r="F332" s="532"/>
      <c r="G332" s="160" t="s">
        <v>38</v>
      </c>
      <c r="H332" s="168" t="s">
        <v>12</v>
      </c>
      <c r="I332" s="162" t="s">
        <v>39</v>
      </c>
      <c r="J332" s="162"/>
      <c r="K332" s="163"/>
      <c r="L332" s="164">
        <f ca="1">IFERROR(__xludf.DUMMYFUNCTION("IMPORTRANGE(""https://docs.google.com/spreadsheets/d/1Yj_ptqi66GCucihVvJfMjLAmec39IyEx_6qawtMGysU/edit?usp=sharing"",""สบก!DG15"")"),44966840)</f>
        <v>44966840</v>
      </c>
      <c r="M332" s="164">
        <f ca="1">IFERROR(__xludf.DUMMYFUNCTION("IMPORTRANGE(""https://docs.google.com/spreadsheets/d/1Yj_ptqi66GCucihVvJfMjLAmec39IyEx_6qawtMGysU/edit?usp=sharing"",""สบก!DL15"")"),35889640)</f>
        <v>35889640</v>
      </c>
      <c r="N332" s="164">
        <f ca="1">IFERROR(__xludf.DUMMYFUNCTION("IMPORTRANGE(""https://docs.google.com/spreadsheets/d/1Yj_ptqi66GCucihVvJfMjLAmec39IyEx_6qawtMGysU/edit?usp=sharing"",""สบก!DM15"")"),15829769.42)</f>
        <v>15829769.42</v>
      </c>
      <c r="O332" s="165">
        <f ca="1">+IF(L332&gt;0,N332*100/L332,0)</f>
        <v>35.203206229301415</v>
      </c>
      <c r="P332" s="165">
        <f t="shared" ca="1" si="103"/>
        <v>44.106793548221717</v>
      </c>
    </row>
    <row r="333" spans="1:16" ht="21.75" customHeight="1" x14ac:dyDescent="0.3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8" t="s">
        <v>12</v>
      </c>
      <c r="I333" s="162"/>
      <c r="J333" s="162"/>
      <c r="K333" s="163"/>
      <c r="L333" s="164">
        <f ca="1">IFERROR(__xludf.DUMMYFUNCTION("IMPORTRANGE(""https://docs.google.com/spreadsheets/d/1yGy89TWty5kAjAO5OL1fLLQ_DL8fVJHFf2LvMm8qymA/edit?usp=sharing"",""รวมเหนือ!L333"")+IMPORTRANGE(""https://docs.google.com/spreadsheets/d/1bWGR5Y7oTgtZIep2hLdTHG-chM0w9aHBSSpJHwm6lak/edit?usp=sharing"","""&amp;"รวมตะวันออกเฉียงเหนือ!L333"")+IMPORTRANGE(""https://docs.google.com/spreadsheets/d/1dCxWUCc_SKNp-qd8qsaa5pPX_-BuQqWJ_-8FnsS4Ki0/edit?usp=sharing"",""รวมกลาง!L333"")+IMPORTRANGE(""https://docs.google.com/spreadsheets/d/1uOzBKYgpuhMUe0xXQLXSct3xZ80hakAMJHdG"&amp;"Jh9616E/edit?usp=sharing"",""รวมใต้!L333"")"),70300260)</f>
        <v>70300260</v>
      </c>
      <c r="M333" s="164">
        <f ca="1">IFERROR(__xludf.DUMMYFUNCTION("IMPORTRANGE(""https://docs.google.com/spreadsheets/d/1yGy89TWty5kAjAO5OL1fLLQ_DL8fVJHFf2LvMm8qymA/edit?usp=sharing"",""รวมเหนือ!M333"")+IMPORTRANGE(""https://docs.google.com/spreadsheets/d/1bWGR5Y7oTgtZIep2hLdTHG-chM0w9aHBSSpJHwm6lak/edit?usp=sharing"","""&amp;"รวมตะวันออกเฉียงเหนือ!M333"")+IMPORTRANGE(""https://docs.google.com/spreadsheets/d/1dCxWUCc_SKNp-qd8qsaa5pPX_-BuQqWJ_-8FnsS4Ki0/edit?usp=sharing"",""รวมกลาง!M333"")+IMPORTRANGE(""https://docs.google.com/spreadsheets/d/1uOzBKYgpuhMUe0xXQLXSct3xZ80hakAMJHdG"&amp;"Jh9616E/edit?usp=sharing"",""รวมใต้!M333"")"),50560660)</f>
        <v>50560660</v>
      </c>
      <c r="N333" s="165">
        <f ca="1">IFERROR(__xludf.DUMMYFUNCTION("IMPORTRANGE(""https://docs.google.com/spreadsheets/d/1yGy89TWty5kAjAO5OL1fLLQ_DL8fVJHFf2LvMm8qymA/edit?usp=sharing"",""รวมเหนือ!N333"")+IMPORTRANGE(""https://docs.google.com/spreadsheets/d/1bWGR5Y7oTgtZIep2hLdTHG-chM0w9aHBSSpJHwm6lak/edit?usp=sharing"","""&amp;"รวมตะวันออกเฉียงเหนือ!N333"")+IMPORTRANGE(""https://docs.google.com/spreadsheets/d/1dCxWUCc_SKNp-qd8qsaa5pPX_-BuQqWJ_-8FnsS4Ki0/edit?usp=sharing"",""รวมกลาง!N333"")+IMPORTRANGE(""https://docs.google.com/spreadsheets/d/1uOzBKYgpuhMUe0xXQLXSct3xZ80hakAMJHdG"&amp;"Jh9616E/edit?usp=sharing"",""รวมใต้!N333"")"),33719266.55)</f>
        <v>33719266.549999997</v>
      </c>
      <c r="O333" s="165">
        <f ca="1">IF(L333&gt;0,N333*100/L333,0)</f>
        <v>47.964639888956306</v>
      </c>
      <c r="P333" s="165">
        <f t="shared" ca="1" si="103"/>
        <v>66.690716754884122</v>
      </c>
    </row>
    <row r="334" spans="1:16" ht="21.75" customHeight="1" x14ac:dyDescent="0.4">
      <c r="A334" s="158"/>
      <c r="B334" s="159"/>
      <c r="C334" s="159"/>
      <c r="D334" s="166"/>
      <c r="E334" s="167"/>
      <c r="F334" s="167"/>
      <c r="G334" s="34" t="s">
        <v>21</v>
      </c>
      <c r="H334" s="168" t="s">
        <v>12</v>
      </c>
      <c r="I334" s="162"/>
      <c r="J334" s="162"/>
      <c r="K334" s="163"/>
      <c r="L334" s="164">
        <f ca="1">IFERROR(__xludf.DUMMYFUNCTION("IMPORTRANGE(""https://docs.google.com/spreadsheets/d/1yGy89TWty5kAjAO5OL1fLLQ_DL8fVJHFf2LvMm8qymA/edit?usp=sharing"",""รวมเหนือ!L334"")+IMPORTRANGE(""https://docs.google.com/spreadsheets/d/1bWGR5Y7oTgtZIep2hLdTHG-chM0w9aHBSSpJHwm6lak/edit?usp=sharing"","""&amp;"รวมตะวันออกเฉียงเหนือ!L334"")+IMPORTRANGE(""https://docs.google.com/spreadsheets/d/1dCxWUCc_SKNp-qd8qsaa5pPX_-BuQqWJ_-8FnsS4Ki0/edit?usp=sharing"",""รวมกลาง!L334"")+IMPORTRANGE(""https://docs.google.com/spreadsheets/d/1uOzBKYgpuhMUe0xXQLXSct3xZ80hakAMJHdG"&amp;"Jh9616E/edit?usp=sharing"",""รวมใต้!L334"")"),33944800)</f>
        <v>33944800</v>
      </c>
      <c r="M334" s="164"/>
      <c r="N334" s="164"/>
      <c r="O334" s="165"/>
      <c r="P334" s="165"/>
    </row>
    <row r="335" spans="1:16" ht="21.75" customHeight="1" x14ac:dyDescent="0.4">
      <c r="A335" s="158"/>
      <c r="B335" s="159"/>
      <c r="C335" s="159"/>
      <c r="D335" s="166"/>
      <c r="E335" s="167"/>
      <c r="F335" s="167"/>
      <c r="G335" s="34" t="s">
        <v>22</v>
      </c>
      <c r="H335" s="168" t="s">
        <v>12</v>
      </c>
      <c r="I335" s="162"/>
      <c r="J335" s="162"/>
      <c r="K335" s="163"/>
      <c r="L335" s="164">
        <f ca="1">IFERROR(__xludf.DUMMYFUNCTION("IMPORTRANGE(""https://docs.google.com/spreadsheets/d/1yGy89TWty5kAjAO5OL1fLLQ_DL8fVJHFf2LvMm8qymA/edit?usp=sharing"",""รวมเหนือ!L335"")+IMPORTRANGE(""https://docs.google.com/spreadsheets/d/1bWGR5Y7oTgtZIep2hLdTHG-chM0w9aHBSSpJHwm6lak/edit?usp=sharing"","""&amp;"รวมตะวันออกเฉียงเหนือ!L335"")+IMPORTRANGE(""https://docs.google.com/spreadsheets/d/1dCxWUCc_SKNp-qd8qsaa5pPX_-BuQqWJ_-8FnsS4Ki0/edit?usp=sharing"",""รวมกลาง!L335"")+IMPORTRANGE(""https://docs.google.com/spreadsheets/d/1uOzBKYgpuhMUe0xXQLXSct3xZ80hakAMJHdG"&amp;"Jh9616E/edit?usp=sharing"",""รวมใต้!L335"")"),36355460)</f>
        <v>36355460</v>
      </c>
      <c r="M335" s="164"/>
      <c r="N335" s="164"/>
      <c r="O335" s="165"/>
      <c r="P335" s="165"/>
    </row>
    <row r="336" spans="1:16" ht="21.75" customHeight="1" x14ac:dyDescent="0.4">
      <c r="A336" s="169"/>
      <c r="B336" s="80"/>
      <c r="C336" s="81" t="s">
        <v>16</v>
      </c>
      <c r="D336" s="531" t="s">
        <v>23</v>
      </c>
      <c r="E336" s="532"/>
      <c r="F336" s="86"/>
      <c r="G336" s="82" t="s">
        <v>18</v>
      </c>
      <c r="H336" s="170" t="s">
        <v>12</v>
      </c>
      <c r="I336" s="162"/>
      <c r="J336" s="162"/>
      <c r="K336" s="163"/>
      <c r="L336" s="41">
        <f ca="1">IFERROR(__xludf.DUMMYFUNCTION("IMPORTRANGE(""https://docs.google.com/spreadsheets/d/1Yj_ptqi66GCucihVvJfMjLAmec39IyEx_6qawtMGysU/edit?usp=sharing"",""สบก!DJ15"")"),36011170)</f>
        <v>36011170</v>
      </c>
      <c r="M336" s="41">
        <f ca="1">L336</f>
        <v>36011170</v>
      </c>
      <c r="N336" s="41">
        <f ca="1">IFERROR(__xludf.DUMMYFUNCTION("IMPORTRANGE(""https://docs.google.com/spreadsheets/d/1Yj_ptqi66GCucihVvJfMjLAmec39IyEx_6qawtMGysU/edit?usp=sharing"",""สบก!DN15"")"),18493206)</f>
        <v>18493206</v>
      </c>
      <c r="O336" s="120">
        <f t="shared" ref="O336:O337" ca="1" si="106">IF(L336&gt;0,N336*100/L336,0)</f>
        <v>51.354082636026547</v>
      </c>
      <c r="P336" s="120">
        <f t="shared" ref="P336:P337" ca="1" si="107">IF(M336&gt;0,N336*100/M336,0)</f>
        <v>51.354082636026547</v>
      </c>
    </row>
    <row r="337" spans="1:16" ht="21.75" customHeight="1" x14ac:dyDescent="0.4">
      <c r="A337" s="171"/>
      <c r="B337" s="89"/>
      <c r="C337" s="89"/>
      <c r="D337" s="172"/>
      <c r="E337" s="90"/>
      <c r="F337" s="90"/>
      <c r="G337" s="91" t="s">
        <v>19</v>
      </c>
      <c r="H337" s="173" t="s">
        <v>12</v>
      </c>
      <c r="I337" s="162"/>
      <c r="J337" s="162"/>
      <c r="K337" s="163"/>
      <c r="L337" s="49">
        <f ca="1">IFERROR(__xludf.DUMMYFUNCTION("IMPORTRANGE(""https://docs.google.com/spreadsheets/d/1yGy89TWty5kAjAO5OL1fLLQ_DL8fVJHFf2LvMm8qymA/edit?usp=sharing"",""รวมเหนือ!L337"")+IMPORTRANGE(""https://docs.google.com/spreadsheets/d/1bWGR5Y7oTgtZIep2hLdTHG-chM0w9aHBSSpJHwm6lak/edit?usp=sharing"","""&amp;"รวมตะวันออกเฉียงเหนือ!L337"")+IMPORTRANGE(""https://docs.google.com/spreadsheets/d/1dCxWUCc_SKNp-qd8qsaa5pPX_-BuQqWJ_-8FnsS4Ki0/edit?usp=sharing"",""รวมกลาง!L337"")+IMPORTRANGE(""https://docs.google.com/spreadsheets/d/1uOzBKYgpuhMUe0xXQLXSct3xZ80hakAMJHdG"&amp;"Jh9616E/edit?usp=sharing"",""รวมใต้!L337"")"),4229730)</f>
        <v>4229730</v>
      </c>
      <c r="M337" s="49">
        <f ca="1">IFERROR(__xludf.DUMMYFUNCTION("IMPORTRANGE(""https://docs.google.com/spreadsheets/d/1yGy89TWty5kAjAO5OL1fLLQ_DL8fVJHFf2LvMm8qymA/edit?usp=sharing"",""รวมเหนือ!M337"")+IMPORTRANGE(""https://docs.google.com/spreadsheets/d/1bWGR5Y7oTgtZIep2hLdTHG-chM0w9aHBSSpJHwm6lak/edit?usp=sharing"","""&amp;"รวมตะวันออกเฉียงเหนือ!M337"")+IMPORTRANGE(""https://docs.google.com/spreadsheets/d/1dCxWUCc_SKNp-qd8qsaa5pPX_-BuQqWJ_-8FnsS4Ki0/edit?usp=sharing"",""รวมกลาง!M337"")+IMPORTRANGE(""https://docs.google.com/spreadsheets/d/1uOzBKYgpuhMUe0xXQLXSct3xZ80hakAMJHdG"&amp;"Jh9616E/edit?usp=sharing"",""รวมใต้!M337"")"),4229730)</f>
        <v>4229730</v>
      </c>
      <c r="N337" s="49">
        <f ca="1">IFERROR(__xludf.DUMMYFUNCTION("IMPORTRANGE(""https://docs.google.com/spreadsheets/d/1yGy89TWty5kAjAO5OL1fLLQ_DL8fVJHFf2LvMm8qymA/edit?usp=sharing"",""รวมเหนือ!N337"")+IMPORTRANGE(""https://docs.google.com/spreadsheets/d/1bWGR5Y7oTgtZIep2hLdTHG-chM0w9aHBSSpJHwm6lak/edit?usp=sharing"","""&amp;"รวมตะวันออกเฉียงเหนือ!N337"")+IMPORTRANGE(""https://docs.google.com/spreadsheets/d/1dCxWUCc_SKNp-qd8qsaa5pPX_-BuQqWJ_-8FnsS4Ki0/edit?usp=sharing"",""รวมกลาง!N337"")+IMPORTRANGE(""https://docs.google.com/spreadsheets/d/1uOzBKYgpuhMUe0xXQLXSct3xZ80hakAMJHdG"&amp;"Jh9616E/edit?usp=sharing"",""รวมใต้!N337"")"),4229730)</f>
        <v>4229730</v>
      </c>
      <c r="O337" s="121">
        <f t="shared" ca="1" si="106"/>
        <v>100</v>
      </c>
      <c r="P337" s="121">
        <f t="shared" ca="1" si="107"/>
        <v>100</v>
      </c>
    </row>
    <row r="338" spans="1:16" ht="21.75" customHeight="1" x14ac:dyDescent="0.3">
      <c r="A338" s="174"/>
      <c r="B338" s="291"/>
      <c r="C338" s="339" t="s">
        <v>119</v>
      </c>
      <c r="D338" s="194"/>
      <c r="E338" s="194"/>
      <c r="F338" s="194"/>
      <c r="G338" s="195"/>
      <c r="H338" s="179"/>
      <c r="I338" s="340"/>
      <c r="J338" s="340"/>
      <c r="K338" s="341"/>
      <c r="L338" s="180"/>
      <c r="M338" s="180"/>
      <c r="N338" s="180"/>
      <c r="O338" s="342"/>
      <c r="P338" s="342"/>
    </row>
    <row r="339" spans="1:16" ht="21.75" customHeight="1" x14ac:dyDescent="0.3">
      <c r="A339" s="174"/>
      <c r="B339" s="291"/>
      <c r="C339" s="175"/>
      <c r="D339" s="194"/>
      <c r="E339" s="193" t="s">
        <v>120</v>
      </c>
      <c r="F339" s="194"/>
      <c r="G339" s="195"/>
      <c r="H339" s="343" t="s">
        <v>37</v>
      </c>
      <c r="I339" s="187">
        <f ca="1">IFERROR(__xludf.DUMMYFUNCTION("IMPORTRANGE(""https://docs.google.com/spreadsheets/d/1yGy89TWty5kAjAO5OL1fLLQ_DL8fVJHFf2LvMm8qymA/edit?usp=sharing"",""รวมเหนือ!I339"")+IMPORTRANGE(""https://docs.google.com/spreadsheets/d/1bWGR5Y7oTgtZIep2hLdTHG-chM0w9aHBSSpJHwm6lak/edit?usp=sharing"","""&amp;"รวมตะวันออกเฉียงเหนือ!I339"")+IMPORTRANGE(""https://docs.google.com/spreadsheets/d/1dCxWUCc_SKNp-qd8qsaa5pPX_-BuQqWJ_-8FnsS4Ki0/edit?usp=sharing"",""รวมกลาง!I339"")+IMPORTRANGE(""https://docs.google.com/spreadsheets/d/1uOzBKYgpuhMUe0xXQLXSct3xZ80hakAMJHdG"&amp;"Jh9616E/edit?usp=sharing"",""รวมใต้!I339"")"),0)</f>
        <v>0</v>
      </c>
      <c r="J339" s="186">
        <f ca="1">IFERROR(__xludf.DUMMYFUNCTION("IMPORTRANGE(""https://docs.google.com/spreadsheets/d/1yGy89TWty5kAjAO5OL1fLLQ_DL8fVJHFf2LvMm8qymA/edit?usp=sharing"",""รวมเหนือ!J339"")+IMPORTRANGE(""https://docs.google.com/spreadsheets/d/1bWGR5Y7oTgtZIep2hLdTHG-chM0w9aHBSSpJHwm6lak/edit?usp=sharing"","""&amp;"รวมตะวันออกเฉียงเหนือ!J339"")+IMPORTRANGE(""https://docs.google.com/spreadsheets/d/1dCxWUCc_SKNp-qd8qsaa5pPX_-BuQqWJ_-8FnsS4Ki0/edit?usp=sharing"",""รวมกลาง!J339"")+IMPORTRANGE(""https://docs.google.com/spreadsheets/d/1uOzBKYgpuhMUe0xXQLXSct3xZ80hakAMJHdG"&amp;"Jh9616E/edit?usp=sharing"",""รวมใต้!J339"")"),13406)</f>
        <v>13406</v>
      </c>
      <c r="K339" s="341">
        <f t="shared" ref="K339:K346" ca="1" si="108">IF(I339&gt;0,J339*100/I339,0)</f>
        <v>0</v>
      </c>
      <c r="L339" s="180"/>
      <c r="M339" s="180"/>
      <c r="N339" s="180"/>
      <c r="O339" s="342"/>
      <c r="P339" s="342"/>
    </row>
    <row r="340" spans="1:16" ht="21.75" customHeight="1" x14ac:dyDescent="0.3">
      <c r="A340" s="174"/>
      <c r="B340" s="291"/>
      <c r="C340" s="175"/>
      <c r="D340" s="194"/>
      <c r="E340" s="194"/>
      <c r="F340" s="194"/>
      <c r="G340" s="195"/>
      <c r="H340" s="343" t="s">
        <v>121</v>
      </c>
      <c r="I340" s="186">
        <f ca="1">IFERROR(__xludf.DUMMYFUNCTION("IMPORTRANGE(""https://docs.google.com/spreadsheets/d/1yGy89TWty5kAjAO5OL1fLLQ_DL8fVJHFf2LvMm8qymA/edit?usp=sharing"",""รวมเหนือ!I340"")+IMPORTRANGE(""https://docs.google.com/spreadsheets/d/1bWGR5Y7oTgtZIep2hLdTHG-chM0w9aHBSSpJHwm6lak/edit?usp=sharing"","""&amp;"รวมตะวันออกเฉียงเหนือ!I340"")+IMPORTRANGE(""https://docs.google.com/spreadsheets/d/1dCxWUCc_SKNp-qd8qsaa5pPX_-BuQqWJ_-8FnsS4Ki0/edit?usp=sharing"",""รวมกลาง!I340"")+IMPORTRANGE(""https://docs.google.com/spreadsheets/d/1uOzBKYgpuhMUe0xXQLXSct3xZ80hakAMJHdG"&amp;"Jh9616E/edit?usp=sharing"",""รวมใต้!I340"")"),204519)</f>
        <v>204519</v>
      </c>
      <c r="J340" s="186">
        <f ca="1">IFERROR(__xludf.DUMMYFUNCTION("IMPORTRANGE(""https://docs.google.com/spreadsheets/d/1yGy89TWty5kAjAO5OL1fLLQ_DL8fVJHFf2LvMm8qymA/edit?usp=sharing"",""รวมเหนือ!J340"")+IMPORTRANGE(""https://docs.google.com/spreadsheets/d/1bWGR5Y7oTgtZIep2hLdTHG-chM0w9aHBSSpJHwm6lak/edit?usp=sharing"","""&amp;"รวมตะวันออกเฉียงเหนือ!J340"")+IMPORTRANGE(""https://docs.google.com/spreadsheets/d/1dCxWUCc_SKNp-qd8qsaa5pPX_-BuQqWJ_-8FnsS4Ki0/edit?usp=sharing"",""รวมกลาง!J340"")+IMPORTRANGE(""https://docs.google.com/spreadsheets/d/1uOzBKYgpuhMUe0xXQLXSct3xZ80hakAMJHdG"&amp;"Jh9616E/edit?usp=sharing"",""รวมใต้!J340"")"),115130.15)</f>
        <v>115130.15</v>
      </c>
      <c r="K340" s="341">
        <f t="shared" ca="1" si="108"/>
        <v>56.293131689476283</v>
      </c>
      <c r="L340" s="180"/>
      <c r="M340" s="180"/>
      <c r="N340" s="180"/>
      <c r="O340" s="342"/>
      <c r="P340" s="342"/>
    </row>
    <row r="341" spans="1:16" ht="21.75" customHeight="1" x14ac:dyDescent="0.3">
      <c r="A341" s="174"/>
      <c r="B341" s="291"/>
      <c r="C341" s="175"/>
      <c r="D341" s="194"/>
      <c r="E341" s="193" t="s">
        <v>122</v>
      </c>
      <c r="F341" s="194"/>
      <c r="G341" s="195"/>
      <c r="H341" s="179" t="s">
        <v>37</v>
      </c>
      <c r="I341" s="186">
        <f ca="1">IFERROR(__xludf.DUMMYFUNCTION("IMPORTRANGE(""https://docs.google.com/spreadsheets/d/1yGy89TWty5kAjAO5OL1fLLQ_DL8fVJHFf2LvMm8qymA/edit?usp=sharing"",""รวมเหนือ!I341"")+IMPORTRANGE(""https://docs.google.com/spreadsheets/d/1bWGR5Y7oTgtZIep2hLdTHG-chM0w9aHBSSpJHwm6lak/edit?usp=sharing"","""&amp;"รวมตะวันออกเฉียงเหนือ!I341"")+IMPORTRANGE(""https://docs.google.com/spreadsheets/d/1dCxWUCc_SKNp-qd8qsaa5pPX_-BuQqWJ_-8FnsS4Ki0/edit?usp=sharing"",""รวมกลาง!I341"")+IMPORTRANGE(""https://docs.google.com/spreadsheets/d/1uOzBKYgpuhMUe0xXQLXSct3xZ80hakAMJHdG"&amp;"Jh9616E/edit?usp=sharing"",""รวมใต้!I341"")"),23500)</f>
        <v>23500</v>
      </c>
      <c r="J341" s="186">
        <f ca="1">IFERROR(__xludf.DUMMYFUNCTION("IMPORTRANGE(""https://docs.google.com/spreadsheets/d/1yGy89TWty5kAjAO5OL1fLLQ_DL8fVJHFf2LvMm8qymA/edit?usp=sharing"",""รวมเหนือ!J341"")+IMPORTRANGE(""https://docs.google.com/spreadsheets/d/1bWGR5Y7oTgtZIep2hLdTHG-chM0w9aHBSSpJHwm6lak/edit?usp=sharing"","""&amp;"รวมตะวันออกเฉียงเหนือ!J341"")+IMPORTRANGE(""https://docs.google.com/spreadsheets/d/1dCxWUCc_SKNp-qd8qsaa5pPX_-BuQqWJ_-8FnsS4Ki0/edit?usp=sharing"",""รวมกลาง!J341"")+IMPORTRANGE(""https://docs.google.com/spreadsheets/d/1uOzBKYgpuhMUe0xXQLXSct3xZ80hakAMJHdG"&amp;"Jh9616E/edit?usp=sharing"",""รวมใต้!J341"")"),17334)</f>
        <v>17334</v>
      </c>
      <c r="K341" s="341">
        <f t="shared" ca="1" si="108"/>
        <v>73.761702127659575</v>
      </c>
      <c r="L341" s="180"/>
      <c r="M341" s="180"/>
      <c r="N341" s="180"/>
      <c r="O341" s="342"/>
      <c r="P341" s="342"/>
    </row>
    <row r="342" spans="1:16" ht="21.75" customHeight="1" x14ac:dyDescent="0.3">
      <c r="A342" s="174"/>
      <c r="B342" s="291"/>
      <c r="C342" s="175"/>
      <c r="D342" s="194"/>
      <c r="E342" s="194"/>
      <c r="F342" s="194"/>
      <c r="G342" s="195"/>
      <c r="H342" s="179" t="s">
        <v>121</v>
      </c>
      <c r="I342" s="344">
        <f ca="1">IFERROR(__xludf.DUMMYFUNCTION("IMPORTRANGE(""https://docs.google.com/spreadsheets/d/1yGy89TWty5kAjAO5OL1fLLQ_DL8fVJHFf2LvMm8qymA/edit?usp=sharing"",""รวมเหนือ!I342"")+IMPORTRANGE(""https://docs.google.com/spreadsheets/d/1bWGR5Y7oTgtZIep2hLdTHG-chM0w9aHBSSpJHwm6lak/edit?usp=sharing"","""&amp;"รวมตะวันออกเฉียงเหนือ!I342"")+IMPORTRANGE(""https://docs.google.com/spreadsheets/d/1dCxWUCc_SKNp-qd8qsaa5pPX_-BuQqWJ_-8FnsS4Ki0/edit?usp=sharing"",""รวมกลาง!I342"")+IMPORTRANGE(""https://docs.google.com/spreadsheets/d/1uOzBKYgpuhMUe0xXQLXSct3xZ80hakAMJHdG"&amp;"Jh9616E/edit?usp=sharing"",""รวมใต้!I342"")"),0)</f>
        <v>0</v>
      </c>
      <c r="J342" s="186">
        <f ca="1">IFERROR(__xludf.DUMMYFUNCTION("IMPORTRANGE(""https://docs.google.com/spreadsheets/d/1yGy89TWty5kAjAO5OL1fLLQ_DL8fVJHFf2LvMm8qymA/edit?usp=sharing"",""รวมเหนือ!J342"")+IMPORTRANGE(""https://docs.google.com/spreadsheets/d/1bWGR5Y7oTgtZIep2hLdTHG-chM0w9aHBSSpJHwm6lak/edit?usp=sharing"","""&amp;"รวมตะวันออกเฉียงเหนือ!J342"")+IMPORTRANGE(""https://docs.google.com/spreadsheets/d/1dCxWUCc_SKNp-qd8qsaa5pPX_-BuQqWJ_-8FnsS4Ki0/edit?usp=sharing"",""รวมกลาง!J342"")+IMPORTRANGE(""https://docs.google.com/spreadsheets/d/1uOzBKYgpuhMUe0xXQLXSct3xZ80hakAMJHdG"&amp;"Jh9616E/edit?usp=sharing"",""รวมใต้!J342"")"),184289.71)</f>
        <v>184289.71</v>
      </c>
      <c r="K342" s="341">
        <f t="shared" ca="1" si="108"/>
        <v>0</v>
      </c>
      <c r="L342" s="180"/>
      <c r="M342" s="180"/>
      <c r="N342" s="180"/>
      <c r="O342" s="342"/>
      <c r="P342" s="342"/>
    </row>
    <row r="343" spans="1:16" ht="21.75" customHeight="1" x14ac:dyDescent="0.3">
      <c r="A343" s="174"/>
      <c r="B343" s="291"/>
      <c r="C343" s="175"/>
      <c r="D343" s="194"/>
      <c r="E343" s="193" t="s">
        <v>123</v>
      </c>
      <c r="F343" s="194"/>
      <c r="G343" s="195"/>
      <c r="H343" s="179" t="s">
        <v>37</v>
      </c>
      <c r="I343" s="186">
        <f ca="1">IFERROR(__xludf.DUMMYFUNCTION("IMPORTRANGE(""https://docs.google.com/spreadsheets/d/1yGy89TWty5kAjAO5OL1fLLQ_DL8fVJHFf2LvMm8qymA/edit?usp=sharing"",""รวมเหนือ!I343"")+IMPORTRANGE(""https://docs.google.com/spreadsheets/d/1bWGR5Y7oTgtZIep2hLdTHG-chM0w9aHBSSpJHwm6lak/edit?usp=sharing"","""&amp;"รวมตะวันออกเฉียงเหนือ!I343"")+IMPORTRANGE(""https://docs.google.com/spreadsheets/d/1dCxWUCc_SKNp-qd8qsaa5pPX_-BuQqWJ_-8FnsS4Ki0/edit?usp=sharing"",""รวมกลาง!I343"")+IMPORTRANGE(""https://docs.google.com/spreadsheets/d/1uOzBKYgpuhMUe0xXQLXSct3xZ80hakAMJHdG"&amp;"Jh9616E/edit?usp=sharing"",""รวมใต้!I343"")"),23500)</f>
        <v>23500</v>
      </c>
      <c r="J343" s="186">
        <f ca="1">IFERROR(__xludf.DUMMYFUNCTION("IMPORTRANGE(""https://docs.google.com/spreadsheets/d/1yGy89TWty5kAjAO5OL1fLLQ_DL8fVJHFf2LvMm8qymA/edit?usp=sharing"",""รวมเหนือ!J343"")+IMPORTRANGE(""https://docs.google.com/spreadsheets/d/1bWGR5Y7oTgtZIep2hLdTHG-chM0w9aHBSSpJHwm6lak/edit?usp=sharing"","""&amp;"รวมตะวันออกเฉียงเหนือ!J343"")+IMPORTRANGE(""https://docs.google.com/spreadsheets/d/1dCxWUCc_SKNp-qd8qsaa5pPX_-BuQqWJ_-8FnsS4Ki0/edit?usp=sharing"",""รวมกลาง!J343"")+IMPORTRANGE(""https://docs.google.com/spreadsheets/d/1uOzBKYgpuhMUe0xXQLXSct3xZ80hakAMJHdG"&amp;"Jh9616E/edit?usp=sharing"",""รวมใต้!J343"")"),1171)</f>
        <v>1171</v>
      </c>
      <c r="K343" s="341">
        <f t="shared" ca="1" si="108"/>
        <v>4.9829787234042557</v>
      </c>
      <c r="L343" s="180"/>
      <c r="M343" s="180"/>
      <c r="N343" s="180"/>
      <c r="O343" s="342"/>
      <c r="P343" s="342"/>
    </row>
    <row r="344" spans="1:16" ht="21.75" customHeight="1" x14ac:dyDescent="0.3">
      <c r="A344" s="174"/>
      <c r="B344" s="291"/>
      <c r="C344" s="175"/>
      <c r="D344" s="194"/>
      <c r="E344" s="194"/>
      <c r="F344" s="194"/>
      <c r="G344" s="195"/>
      <c r="H344" s="179" t="s">
        <v>121</v>
      </c>
      <c r="I344" s="344">
        <f ca="1">IFERROR(__xludf.DUMMYFUNCTION("IMPORTRANGE(""https://docs.google.com/spreadsheets/d/1yGy89TWty5kAjAO5OL1fLLQ_DL8fVJHFf2LvMm8qymA/edit?usp=sharing"",""รวมเหนือ!I344"")+IMPORTRANGE(""https://docs.google.com/spreadsheets/d/1bWGR5Y7oTgtZIep2hLdTHG-chM0w9aHBSSpJHwm6lak/edit?usp=sharing"","""&amp;"รวมตะวันออกเฉียงเหนือ!I344"")+IMPORTRANGE(""https://docs.google.com/spreadsheets/d/1dCxWUCc_SKNp-qd8qsaa5pPX_-BuQqWJ_-8FnsS4Ki0/edit?usp=sharing"",""รวมกลาง!I344"")+IMPORTRANGE(""https://docs.google.com/spreadsheets/d/1uOzBKYgpuhMUe0xXQLXSct3xZ80hakAMJHdG"&amp;"Jh9616E/edit?usp=sharing"",""รวมใต้!I344"")"),0)</f>
        <v>0</v>
      </c>
      <c r="J344" s="186">
        <f ca="1">IFERROR(__xludf.DUMMYFUNCTION("IMPORTRANGE(""https://docs.google.com/spreadsheets/d/1yGy89TWty5kAjAO5OL1fLLQ_DL8fVJHFf2LvMm8qymA/edit?usp=sharing"",""รวมเหนือ!J344"")+IMPORTRANGE(""https://docs.google.com/spreadsheets/d/1bWGR5Y7oTgtZIep2hLdTHG-chM0w9aHBSSpJHwm6lak/edit?usp=sharing"","""&amp;"รวมตะวันออกเฉียงเหนือ!J344"")+IMPORTRANGE(""https://docs.google.com/spreadsheets/d/1dCxWUCc_SKNp-qd8qsaa5pPX_-BuQqWJ_-8FnsS4Ki0/edit?usp=sharing"",""รวมกลาง!J344"")+IMPORTRANGE(""https://docs.google.com/spreadsheets/d/1uOzBKYgpuhMUe0xXQLXSct3xZ80hakAMJHdG"&amp;"Jh9616E/edit?usp=sharing"",""รวมใต้!J344"")"),11769.6999999999)</f>
        <v>11769.699999999901</v>
      </c>
      <c r="K344" s="341">
        <f t="shared" ca="1" si="108"/>
        <v>0</v>
      </c>
      <c r="L344" s="180"/>
      <c r="M344" s="180"/>
      <c r="N344" s="180"/>
      <c r="O344" s="342"/>
      <c r="P344" s="342"/>
    </row>
    <row r="345" spans="1:16" ht="21.75" customHeight="1" x14ac:dyDescent="0.3">
      <c r="A345" s="174"/>
      <c r="B345" s="291"/>
      <c r="C345" s="175"/>
      <c r="D345" s="194"/>
      <c r="E345" s="193" t="s">
        <v>124</v>
      </c>
      <c r="F345" s="194"/>
      <c r="G345" s="195"/>
      <c r="H345" s="179" t="s">
        <v>37</v>
      </c>
      <c r="I345" s="186">
        <f ca="1">IFERROR(__xludf.DUMMYFUNCTION("IMPORTRANGE(""https://docs.google.com/spreadsheets/d/1yGy89TWty5kAjAO5OL1fLLQ_DL8fVJHFf2LvMm8qymA/edit?usp=sharing"",""รวมเหนือ!I345"")+IMPORTRANGE(""https://docs.google.com/spreadsheets/d/1bWGR5Y7oTgtZIep2hLdTHG-chM0w9aHBSSpJHwm6lak/edit?usp=sharing"","""&amp;"รวมตะวันออกเฉียงเหนือ!I345"")+IMPORTRANGE(""https://docs.google.com/spreadsheets/d/1dCxWUCc_SKNp-qd8qsaa5pPX_-BuQqWJ_-8FnsS4Ki0/edit?usp=sharing"",""รวมกลาง!I345"")+IMPORTRANGE(""https://docs.google.com/spreadsheets/d/1uOzBKYgpuhMUe0xXQLXSct3xZ80hakAMJHdG"&amp;"Jh9616E/edit?usp=sharing"",""รวมใต้!I345"")"),23500)</f>
        <v>23500</v>
      </c>
      <c r="J345" s="186">
        <f ca="1">IFERROR(__xludf.DUMMYFUNCTION("IMPORTRANGE(""https://docs.google.com/spreadsheets/d/1yGy89TWty5kAjAO5OL1fLLQ_DL8fVJHFf2LvMm8qymA/edit?usp=sharing"",""รวมเหนือ!J345"")+IMPORTRANGE(""https://docs.google.com/spreadsheets/d/1bWGR5Y7oTgtZIep2hLdTHG-chM0w9aHBSSpJHwm6lak/edit?usp=sharing"","""&amp;"รวมตะวันออกเฉียงเหนือ!J345"")+IMPORTRANGE(""https://docs.google.com/spreadsheets/d/1dCxWUCc_SKNp-qd8qsaa5pPX_-BuQqWJ_-8FnsS4Ki0/edit?usp=sharing"",""รวมกลาง!J345"")+IMPORTRANGE(""https://docs.google.com/spreadsheets/d/1uOzBKYgpuhMUe0xXQLXSct3xZ80hakAMJHdG"&amp;"Jh9616E/edit?usp=sharing"",""รวมใต้!J345"")"),11712)</f>
        <v>11712</v>
      </c>
      <c r="K345" s="341">
        <f t="shared" ca="1" si="108"/>
        <v>49.838297872340426</v>
      </c>
      <c r="L345" s="180"/>
      <c r="M345" s="180"/>
      <c r="N345" s="180"/>
      <c r="O345" s="342"/>
      <c r="P345" s="342"/>
    </row>
    <row r="346" spans="1:16" ht="21.75" customHeight="1" x14ac:dyDescent="0.3">
      <c r="A346" s="230"/>
      <c r="B346" s="345"/>
      <c r="C346" s="231"/>
      <c r="D346" s="345"/>
      <c r="E346" s="346"/>
      <c r="F346" s="346"/>
      <c r="G346" s="347"/>
      <c r="H346" s="348" t="s">
        <v>121</v>
      </c>
      <c r="I346" s="349">
        <f ca="1">IFERROR(__xludf.DUMMYFUNCTION("IMPORTRANGE(""https://docs.google.com/spreadsheets/d/1yGy89TWty5kAjAO5OL1fLLQ_DL8fVJHFf2LvMm8qymA/edit?usp=sharing"",""รวมเหนือ!I346"")+IMPORTRANGE(""https://docs.google.com/spreadsheets/d/1bWGR5Y7oTgtZIep2hLdTHG-chM0w9aHBSSpJHwm6lak/edit?usp=sharing"","""&amp;"รวมตะวันออกเฉียงเหนือ!I346"")+IMPORTRANGE(""https://docs.google.com/spreadsheets/d/1dCxWUCc_SKNp-qd8qsaa5pPX_-BuQqWJ_-8FnsS4Ki0/edit?usp=sharing"",""รวมกลาง!I346"")+IMPORTRANGE(""https://docs.google.com/spreadsheets/d/1uOzBKYgpuhMUe0xXQLXSct3xZ80hakAMJHdG"&amp;"Jh9616E/edit?usp=sharing"",""รวมใต้!I346"")"),0)</f>
        <v>0</v>
      </c>
      <c r="J346" s="186">
        <f ca="1">IFERROR(__xludf.DUMMYFUNCTION("IMPORTRANGE(""https://docs.google.com/spreadsheets/d/1yGy89TWty5kAjAO5OL1fLLQ_DL8fVJHFf2LvMm8qymA/edit?usp=sharing"",""รวมเหนือ!J346"")+IMPORTRANGE(""https://docs.google.com/spreadsheets/d/1bWGR5Y7oTgtZIep2hLdTHG-chM0w9aHBSSpJHwm6lak/edit?usp=sharing"","""&amp;"รวมตะวันออกเฉียงเหนือ!J346"")+IMPORTRANGE(""https://docs.google.com/spreadsheets/d/1dCxWUCc_SKNp-qd8qsaa5pPX_-BuQqWJ_-8FnsS4Ki0/edit?usp=sharing"",""รวมกลาง!J346"")+IMPORTRANGE(""https://docs.google.com/spreadsheets/d/1uOzBKYgpuhMUe0xXQLXSct3xZ80hakAMJHdG"&amp;"Jh9616E/edit?usp=sharing"",""รวมใต้!J346"")"),125333.11)</f>
        <v>125333.11</v>
      </c>
      <c r="K346" s="350">
        <f t="shared" ca="1" si="108"/>
        <v>0</v>
      </c>
      <c r="L346" s="241"/>
      <c r="M346" s="241"/>
      <c r="N346" s="241"/>
      <c r="O346" s="351"/>
      <c r="P346" s="351"/>
    </row>
    <row r="347" spans="1:16" ht="21.75" customHeight="1" x14ac:dyDescent="0.3">
      <c r="A347" s="303" t="s">
        <v>117</v>
      </c>
      <c r="B347" s="304"/>
      <c r="C347" s="304"/>
      <c r="D347" s="305"/>
      <c r="E347" s="304"/>
      <c r="F347" s="304"/>
      <c r="G347" s="318"/>
      <c r="H347" s="307"/>
      <c r="I347" s="308"/>
      <c r="J347" s="308"/>
      <c r="K347" s="309"/>
      <c r="L347" s="309"/>
      <c r="M347" s="309"/>
      <c r="N347" s="309"/>
      <c r="O347" s="310"/>
      <c r="P347" s="310"/>
    </row>
    <row r="348" spans="1:16" ht="21.75" customHeight="1" x14ac:dyDescent="0.3">
      <c r="A348" s="311"/>
      <c r="B348" s="337" t="s">
        <v>125</v>
      </c>
      <c r="C348" s="324"/>
      <c r="D348" s="312"/>
      <c r="E348" s="312"/>
      <c r="F348" s="312"/>
      <c r="G348" s="313"/>
      <c r="H348" s="314" t="s">
        <v>37</v>
      </c>
      <c r="I348" s="352">
        <v>0</v>
      </c>
      <c r="J348" s="352">
        <v>0</v>
      </c>
      <c r="K348" s="316">
        <f>IF(I348&gt;0,J348*100/I348,0)</f>
        <v>0</v>
      </c>
      <c r="L348" s="317"/>
      <c r="M348" s="317"/>
      <c r="N348" s="317"/>
      <c r="O348" s="316"/>
      <c r="P348" s="316"/>
    </row>
    <row r="349" spans="1:16" ht="21.75" customHeight="1" x14ac:dyDescent="0.4">
      <c r="A349" s="146"/>
      <c r="B349" s="147"/>
      <c r="C349" s="148" t="s">
        <v>16</v>
      </c>
      <c r="D349" s="533" t="s">
        <v>17</v>
      </c>
      <c r="E349" s="534"/>
      <c r="F349" s="534"/>
      <c r="G349" s="534"/>
      <c r="H349" s="149" t="s">
        <v>12</v>
      </c>
      <c r="I349" s="162"/>
      <c r="J349" s="162"/>
      <c r="K349" s="163"/>
      <c r="L349" s="152">
        <f t="shared" ref="L349:N349" ca="1" si="109">L350+L351</f>
        <v>8330200</v>
      </c>
      <c r="M349" s="152">
        <f t="shared" ca="1" si="109"/>
        <v>8330200</v>
      </c>
      <c r="N349" s="152">
        <f t="shared" ca="1" si="109"/>
        <v>8200000</v>
      </c>
      <c r="O349" s="151">
        <f t="shared" ref="O349:O351" ca="1" si="110">IF(L349&gt;0,N349*100/L349,0)</f>
        <v>98.437012316631055</v>
      </c>
      <c r="P349" s="151">
        <f t="shared" ref="P349:P351" ca="1" si="111">IF(M349&gt;0,N349*100/M349,0)</f>
        <v>98.437012316631055</v>
      </c>
    </row>
    <row r="350" spans="1:16" ht="21.75" customHeight="1" x14ac:dyDescent="0.4">
      <c r="A350" s="153"/>
      <c r="B350" s="32"/>
      <c r="C350" s="32"/>
      <c r="D350" s="32"/>
      <c r="E350" s="32"/>
      <c r="F350" s="32"/>
      <c r="G350" s="33" t="s">
        <v>18</v>
      </c>
      <c r="H350" s="154" t="s">
        <v>12</v>
      </c>
      <c r="I350" s="162"/>
      <c r="J350" s="162"/>
      <c r="K350" s="163"/>
      <c r="L350" s="157">
        <f t="shared" ref="L350:N350" ca="1" si="112">L352+L356</f>
        <v>8330200</v>
      </c>
      <c r="M350" s="157">
        <f t="shared" ca="1" si="112"/>
        <v>8330200</v>
      </c>
      <c r="N350" s="157">
        <f t="shared" ca="1" si="112"/>
        <v>8200000</v>
      </c>
      <c r="O350" s="156">
        <f t="shared" ca="1" si="110"/>
        <v>98.437012316631055</v>
      </c>
      <c r="P350" s="156">
        <f t="shared" ca="1" si="111"/>
        <v>98.437012316631055</v>
      </c>
    </row>
    <row r="351" spans="1:16" ht="21.75" customHeight="1" x14ac:dyDescent="0.4">
      <c r="A351" s="153"/>
      <c r="B351" s="32"/>
      <c r="C351" s="32"/>
      <c r="D351" s="32"/>
      <c r="E351" s="32"/>
      <c r="F351" s="32"/>
      <c r="G351" s="33" t="s">
        <v>19</v>
      </c>
      <c r="H351" s="154" t="s">
        <v>12</v>
      </c>
      <c r="I351" s="162"/>
      <c r="J351" s="162"/>
      <c r="K351" s="163"/>
      <c r="L351" s="157">
        <f t="shared" ref="L351:N351" si="113">L353+L357</f>
        <v>0</v>
      </c>
      <c r="M351" s="157">
        <f t="shared" si="113"/>
        <v>0</v>
      </c>
      <c r="N351" s="157">
        <f t="shared" si="113"/>
        <v>0</v>
      </c>
      <c r="O351" s="156">
        <f t="shared" si="110"/>
        <v>0</v>
      </c>
      <c r="P351" s="156">
        <f t="shared" si="111"/>
        <v>0</v>
      </c>
    </row>
    <row r="352" spans="1:16" ht="21.75" customHeight="1" x14ac:dyDescent="0.4">
      <c r="A352" s="158"/>
      <c r="B352" s="159"/>
      <c r="C352" s="159" t="s">
        <v>16</v>
      </c>
      <c r="D352" s="535" t="s">
        <v>20</v>
      </c>
      <c r="E352" s="532"/>
      <c r="F352" s="532"/>
      <c r="G352" s="160" t="s">
        <v>38</v>
      </c>
      <c r="H352" s="168" t="s">
        <v>12</v>
      </c>
      <c r="I352" s="162" t="s">
        <v>39</v>
      </c>
      <c r="J352" s="162"/>
      <c r="K352" s="163"/>
      <c r="L352" s="164">
        <f ca="1">IFERROR(__xludf.DUMMYFUNCTION("IMPORTRANGE(""https://docs.google.com/spreadsheets/d/1Yj_ptqi66GCucihVvJfMjLAmec39IyEx_6qawtMGysU/edit?usp=sharing"",""สบก!DP15"")"),0)</f>
        <v>0</v>
      </c>
      <c r="M352" s="164">
        <f ca="1">IFERROR(__xludf.DUMMYFUNCTION("IMPORTRANGE(""https://docs.google.com/spreadsheets/d/1Yj_ptqi66GCucihVvJfMjLAmec39IyEx_6qawtMGysU/edit?usp=sharing"",""สบก!DU15"")"),0)</f>
        <v>0</v>
      </c>
      <c r="N352" s="164">
        <f ca="1">IFERROR(__xludf.DUMMYFUNCTION("IMPORTRANGE(""https://docs.google.com/spreadsheets/d/1Yj_ptqi66GCucihVvJfMjLAmec39IyEx_6qawtMGysU/edit?usp=sharing"",""สบก!DV15"")"),0)</f>
        <v>0</v>
      </c>
      <c r="O352" s="165">
        <f ca="1">+IF(L352&gt;0,N352*100/L352,0)</f>
        <v>0</v>
      </c>
      <c r="P352" s="165"/>
    </row>
    <row r="353" spans="1:16" ht="21.75" customHeight="1" x14ac:dyDescent="0.3">
      <c r="A353" s="158"/>
      <c r="B353" s="159"/>
      <c r="C353" s="159"/>
      <c r="D353" s="166"/>
      <c r="E353" s="167"/>
      <c r="F353" s="167" t="s">
        <v>39</v>
      </c>
      <c r="G353" s="160" t="s">
        <v>40</v>
      </c>
      <c r="H353" s="168" t="s">
        <v>12</v>
      </c>
      <c r="I353" s="162"/>
      <c r="J353" s="162"/>
      <c r="K353" s="163"/>
      <c r="L353" s="164">
        <v>0</v>
      </c>
      <c r="M353" s="164">
        <v>0</v>
      </c>
      <c r="N353" s="164">
        <v>0</v>
      </c>
      <c r="O353" s="165">
        <f>IF(L353&gt;0,N353*100/L353,0)</f>
        <v>0</v>
      </c>
      <c r="P353" s="165">
        <f>IF(M353&gt;0,N353*100/M353,0)</f>
        <v>0</v>
      </c>
    </row>
    <row r="354" spans="1:16" ht="21.75" customHeight="1" x14ac:dyDescent="0.4">
      <c r="A354" s="158"/>
      <c r="B354" s="159"/>
      <c r="C354" s="159"/>
      <c r="D354" s="166"/>
      <c r="E354" s="167"/>
      <c r="F354" s="167"/>
      <c r="G354" s="34" t="s">
        <v>21</v>
      </c>
      <c r="H354" s="168" t="s">
        <v>12</v>
      </c>
      <c r="I354" s="162"/>
      <c r="J354" s="162"/>
      <c r="K354" s="163"/>
      <c r="L354" s="164">
        <v>0</v>
      </c>
      <c r="M354" s="164"/>
      <c r="N354" s="164"/>
      <c r="O354" s="165"/>
      <c r="P354" s="165"/>
    </row>
    <row r="355" spans="1:16" ht="21.75" customHeight="1" x14ac:dyDescent="0.4">
      <c r="A355" s="158"/>
      <c r="B355" s="159"/>
      <c r="C355" s="159"/>
      <c r="D355" s="166"/>
      <c r="E355" s="167"/>
      <c r="F355" s="167"/>
      <c r="G355" s="34" t="s">
        <v>22</v>
      </c>
      <c r="H355" s="168" t="s">
        <v>12</v>
      </c>
      <c r="I355" s="162"/>
      <c r="J355" s="162"/>
      <c r="K355" s="163"/>
      <c r="L355" s="164">
        <v>0</v>
      </c>
      <c r="M355" s="164"/>
      <c r="N355" s="164"/>
      <c r="O355" s="165"/>
      <c r="P355" s="165"/>
    </row>
    <row r="356" spans="1:16" ht="21.75" customHeight="1" x14ac:dyDescent="0.4">
      <c r="A356" s="169"/>
      <c r="B356" s="80"/>
      <c r="C356" s="81" t="s">
        <v>16</v>
      </c>
      <c r="D356" s="531" t="s">
        <v>23</v>
      </c>
      <c r="E356" s="532"/>
      <c r="F356" s="86"/>
      <c r="G356" s="82" t="s">
        <v>18</v>
      </c>
      <c r="H356" s="170" t="s">
        <v>12</v>
      </c>
      <c r="I356" s="162"/>
      <c r="J356" s="162"/>
      <c r="K356" s="163"/>
      <c r="L356" s="41">
        <f ca="1">IFERROR(__xludf.DUMMYFUNCTION("IMPORTRANGE(""https://docs.google.com/spreadsheets/d/1Yj_ptqi66GCucihVvJfMjLAmec39IyEx_6qawtMGysU/edit?usp=sharing"",""สบก!DS15"")"),8330200)</f>
        <v>8330200</v>
      </c>
      <c r="M356" s="41">
        <f ca="1">L356</f>
        <v>8330200</v>
      </c>
      <c r="N356" s="41">
        <f ca="1">IFERROR(__xludf.DUMMYFUNCTION("IMPORTRANGE(""https://docs.google.com/spreadsheets/d/1Yj_ptqi66GCucihVvJfMjLAmec39IyEx_6qawtMGysU/edit?usp=sharing"",""สบก!DW15"")"),8200000)</f>
        <v>8200000</v>
      </c>
      <c r="O356" s="120">
        <f t="shared" ref="O356:O357" ca="1" si="114">IF(L356&gt;0,N356*100/L356,0)</f>
        <v>98.437012316631055</v>
      </c>
      <c r="P356" s="120">
        <f ca="1">IF(M356&gt;0,N356*100/M356,0)</f>
        <v>98.437012316631055</v>
      </c>
    </row>
    <row r="357" spans="1:16" ht="21.75" customHeight="1" x14ac:dyDescent="0.4">
      <c r="A357" s="171"/>
      <c r="B357" s="89"/>
      <c r="C357" s="89"/>
      <c r="D357" s="172"/>
      <c r="E357" s="90"/>
      <c r="F357" s="90"/>
      <c r="G357" s="91" t="s">
        <v>19</v>
      </c>
      <c r="H357" s="173" t="s">
        <v>12</v>
      </c>
      <c r="I357" s="162"/>
      <c r="J357" s="162"/>
      <c r="K357" s="163"/>
      <c r="L357" s="51">
        <v>0</v>
      </c>
      <c r="M357" s="49"/>
      <c r="N357" s="51">
        <v>0</v>
      </c>
      <c r="O357" s="121">
        <f t="shared" si="114"/>
        <v>0</v>
      </c>
      <c r="P357" s="121"/>
    </row>
    <row r="358" spans="1:16" ht="21.75" customHeight="1" x14ac:dyDescent="0.3">
      <c r="A358" s="353" t="s">
        <v>126</v>
      </c>
      <c r="B358" s="354"/>
      <c r="C358" s="354"/>
      <c r="D358" s="354"/>
      <c r="E358" s="354"/>
      <c r="F358" s="354"/>
      <c r="G358" s="355"/>
      <c r="H358" s="356"/>
      <c r="I358" s="357"/>
      <c r="J358" s="357"/>
      <c r="K358" s="358"/>
      <c r="L358" s="358">
        <f ca="1">L360+L391+L412+L446+L466+L544+L562+L575+L591+L608</f>
        <v>200000002</v>
      </c>
      <c r="M358" s="358"/>
      <c r="N358" s="358">
        <f ca="1">N360+N391+N412+N446+N466+N544+N562+N575+N591+N608</f>
        <v>55523622.56999997</v>
      </c>
      <c r="O358" s="358">
        <f ca="1">+IF(L358&gt;0,N358*100/L358,0)</f>
        <v>27.761811007381876</v>
      </c>
      <c r="P358" s="358"/>
    </row>
    <row r="359" spans="1:16" ht="21.75" customHeight="1" x14ac:dyDescent="0.3">
      <c r="A359" s="359" t="s">
        <v>127</v>
      </c>
      <c r="B359" s="360"/>
      <c r="C359" s="360"/>
      <c r="D359" s="360"/>
      <c r="E359" s="360"/>
      <c r="F359" s="360"/>
      <c r="G359" s="361"/>
      <c r="H359" s="362"/>
      <c r="I359" s="363"/>
      <c r="J359" s="363"/>
      <c r="K359" s="364"/>
      <c r="L359" s="364"/>
      <c r="M359" s="364"/>
      <c r="N359" s="364"/>
      <c r="O359" s="365"/>
      <c r="P359" s="365"/>
    </row>
    <row r="360" spans="1:16" ht="21.75" customHeight="1" x14ac:dyDescent="0.3">
      <c r="A360" s="366"/>
      <c r="B360" s="367">
        <v>1</v>
      </c>
      <c r="C360" s="368" t="s">
        <v>128</v>
      </c>
      <c r="D360" s="368"/>
      <c r="E360" s="368"/>
      <c r="F360" s="368"/>
      <c r="G360" s="369"/>
      <c r="H360" s="370" t="s">
        <v>121</v>
      </c>
      <c r="I360" s="371">
        <f ca="1">IFERROR(__xludf.DUMMYFUNCTION("IMPORTRANGE(""https://docs.google.com/spreadsheets/d/1yGy89TWty5kAjAO5OL1fLLQ_DL8fVJHFf2LvMm8qymA/edit?usp=sharing"",""รวมเหนือ!I349"")+IMPORTRANGE(""https://docs.google.com/spreadsheets/d/1bWGR5Y7oTgtZIep2hLdTHG-chM0w9aHBSSpJHwm6lak/edit?usp=sharing"","""&amp;"รวมตะวันออกเฉียงเหนือ!I349"")+IMPORTRANGE(""https://docs.google.com/spreadsheets/d/1dCxWUCc_SKNp-qd8qsaa5pPX_-BuQqWJ_-8FnsS4Ki0/edit?usp=sharing"",""รวมกลาง!I349"")+IMPORTRANGE(""https://docs.google.com/spreadsheets/d/1uOzBKYgpuhMUe0xXQLXSct3xZ80hakAMJHdG"&amp;"Jh9616E/edit?usp=sharing"",""รวมใต้!I349"")"),8480)</f>
        <v>8480</v>
      </c>
      <c r="J360" s="371">
        <f ca="1">IFERROR(__xludf.DUMMYFUNCTION("IMPORTRANGE(""https://docs.google.com/spreadsheets/d/1yGy89TWty5kAjAO5OL1fLLQ_DL8fVJHFf2LvMm8qymA/edit?usp=sharing"",""รวมเหนือ!J349"")+IMPORTRANGE(""https://docs.google.com/spreadsheets/d/1bWGR5Y7oTgtZIep2hLdTHG-chM0w9aHBSSpJHwm6lak/edit?usp=sharing"","""&amp;"รวมตะวันออกเฉียงเหนือ!J349"")+IMPORTRANGE(""https://docs.google.com/spreadsheets/d/1dCxWUCc_SKNp-qd8qsaa5pPX_-BuQqWJ_-8FnsS4Ki0/edit?usp=sharing"",""รวมกลาง!J349"")+IMPORTRANGE(""https://docs.google.com/spreadsheets/d/1uOzBKYgpuhMUe0xXQLXSct3xZ80hakAMJHdG"&amp;"Jh9616E/edit?usp=sharing"",""รวมใต้!J349"")"),2576)</f>
        <v>2576</v>
      </c>
      <c r="K360" s="372">
        <f t="shared" ref="K360:K361" ca="1" si="115">IF(I360&gt;0,J360*100/I360,0)</f>
        <v>30.377358490566039</v>
      </c>
      <c r="L360" s="373">
        <f ca="1">L362+L363</f>
        <v>22445100</v>
      </c>
      <c r="M360" s="373"/>
      <c r="N360" s="373">
        <f ca="1">N362+N363</f>
        <v>8418739.9199999887</v>
      </c>
      <c r="O360" s="373">
        <f ca="1">+IF(L360&gt;0,N360*100/L360,0)</f>
        <v>37.508141732493904</v>
      </c>
      <c r="P360" s="373"/>
    </row>
    <row r="361" spans="1:16" ht="21.75" customHeight="1" x14ac:dyDescent="0.3">
      <c r="A361" s="366"/>
      <c r="B361" s="367"/>
      <c r="C361" s="368"/>
      <c r="D361" s="368"/>
      <c r="E361" s="368"/>
      <c r="F361" s="368"/>
      <c r="G361" s="369"/>
      <c r="H361" s="370" t="s">
        <v>37</v>
      </c>
      <c r="I361" s="371">
        <f ca="1">IFERROR(__xludf.DUMMYFUNCTION("IMPORTRANGE(""https://docs.google.com/spreadsheets/d/1yGy89TWty5kAjAO5OL1fLLQ_DL8fVJHFf2LvMm8qymA/edit?usp=sharing"",""รวมเหนือ!I350"")+IMPORTRANGE(""https://docs.google.com/spreadsheets/d/1bWGR5Y7oTgtZIep2hLdTHG-chM0w9aHBSSpJHwm6lak/edit?usp=sharing"","""&amp;"รวมตะวันออกเฉียงเหนือ!I350"")+IMPORTRANGE(""https://docs.google.com/spreadsheets/d/1dCxWUCc_SKNp-qd8qsaa5pPX_-BuQqWJ_-8FnsS4Ki0/edit?usp=sharing"",""รวมกลาง!I350"")+IMPORTRANGE(""https://docs.google.com/spreadsheets/d/1uOzBKYgpuhMUe0xXQLXSct3xZ80hakAMJHdG"&amp;"Jh9616E/edit?usp=sharing"",""รวมใต้!I350"")"),2805)</f>
        <v>2805</v>
      </c>
      <c r="J361" s="371">
        <f ca="1">IFERROR(__xludf.DUMMYFUNCTION("IMPORTRANGE(""https://docs.google.com/spreadsheets/d/1yGy89TWty5kAjAO5OL1fLLQ_DL8fVJHFf2LvMm8qymA/edit?usp=sharing"",""รวมเหนือ!J350"")+IMPORTRANGE(""https://docs.google.com/spreadsheets/d/1bWGR5Y7oTgtZIep2hLdTHG-chM0w9aHBSSpJHwm6lak/edit?usp=sharing"","""&amp;"รวมตะวันออกเฉียงเหนือ!J350"")+IMPORTRANGE(""https://docs.google.com/spreadsheets/d/1dCxWUCc_SKNp-qd8qsaa5pPX_-BuQqWJ_-8FnsS4Ki0/edit?usp=sharing"",""รวมกลาง!J350"")+IMPORTRANGE(""https://docs.google.com/spreadsheets/d/1uOzBKYgpuhMUe0xXQLXSct3xZ80hakAMJHdG"&amp;"Jh9616E/edit?usp=sharing"",""รวมใต้!J350"")"),2624)</f>
        <v>2624</v>
      </c>
      <c r="K361" s="372">
        <f t="shared" ca="1" si="115"/>
        <v>93.547237076648841</v>
      </c>
      <c r="L361" s="373"/>
      <c r="M361" s="373"/>
      <c r="N361" s="373"/>
      <c r="O361" s="373"/>
      <c r="P361" s="373"/>
    </row>
    <row r="362" spans="1:16" ht="21.75" customHeight="1" x14ac:dyDescent="0.3">
      <c r="A362" s="158"/>
      <c r="B362" s="159"/>
      <c r="C362" s="159" t="s">
        <v>16</v>
      </c>
      <c r="D362" s="274" t="s">
        <v>75</v>
      </c>
      <c r="E362" s="167"/>
      <c r="F362" s="167"/>
      <c r="G362" s="374" t="s">
        <v>38</v>
      </c>
      <c r="H362" s="168" t="s">
        <v>12</v>
      </c>
      <c r="I362" s="162" t="s">
        <v>39</v>
      </c>
      <c r="J362" s="162"/>
      <c r="K362" s="163"/>
      <c r="L362" s="275">
        <f ca="1">IFERROR(__xludf.DUMMYFUNCTION("IMPORTRANGE(""https://docs.google.com/spreadsheets/d/1muirlRDkqiswvy_NRZ3Yh955hx-PF6_HhssUYiSJj8o/edit?usp=sharing"",""กองทุนส่วนกลาง!G10"")"),2747160)</f>
        <v>2747160</v>
      </c>
      <c r="M362" s="275"/>
      <c r="N362" s="275">
        <f ca="1">IFERROR(__xludf.DUMMYFUNCTION("IMPORTRANGE(""https://docs.google.com/spreadsheets/d/1-fhVXPMm30suWK0-eslVgeT9cTVfCsDeUsq7Bk5UZE8/edit?usp=sharing"",""ทั้งประเทศ!M246"")"),273317.26)</f>
        <v>273317.26</v>
      </c>
      <c r="O362" s="276">
        <f t="shared" ref="O362:O365" ca="1" si="116">+IF(L362&gt;0,N362*100/L362,0)</f>
        <v>9.9490841450807377</v>
      </c>
      <c r="P362" s="276"/>
    </row>
    <row r="363" spans="1:16" ht="21.75" customHeight="1" x14ac:dyDescent="0.3">
      <c r="A363" s="158"/>
      <c r="B363" s="159"/>
      <c r="C363" s="159"/>
      <c r="D363" s="166"/>
      <c r="E363" s="167"/>
      <c r="F363" s="167" t="s">
        <v>39</v>
      </c>
      <c r="G363" s="374" t="s">
        <v>40</v>
      </c>
      <c r="H363" s="168" t="s">
        <v>12</v>
      </c>
      <c r="I363" s="162"/>
      <c r="J363" s="162"/>
      <c r="K363" s="163"/>
      <c r="L363" s="276">
        <f ca="1">L364+L365</f>
        <v>19697940</v>
      </c>
      <c r="M363" s="276"/>
      <c r="N363" s="275">
        <f ca="1">N364+N365</f>
        <v>8145422.659999989</v>
      </c>
      <c r="O363" s="276">
        <f t="shared" ca="1" si="116"/>
        <v>41.351647228085724</v>
      </c>
      <c r="P363" s="276"/>
    </row>
    <row r="364" spans="1:16" ht="21.75" customHeight="1" x14ac:dyDescent="0.4">
      <c r="A364" s="158"/>
      <c r="B364" s="159"/>
      <c r="C364" s="159"/>
      <c r="D364" s="166"/>
      <c r="E364" s="167"/>
      <c r="F364" s="167"/>
      <c r="G364" s="34" t="s">
        <v>21</v>
      </c>
      <c r="H364" s="168" t="s">
        <v>12</v>
      </c>
      <c r="I364" s="162"/>
      <c r="J364" s="162"/>
      <c r="K364" s="163"/>
      <c r="L364" s="165">
        <f ca="1">IFERROR(__xludf.DUMMYFUNCTION("IMPORTRANGE(""https://docs.google.com/spreadsheets/d/1yGy89TWty5kAjAO5OL1fLLQ_DL8fVJHFf2LvMm8qymA/edit?usp=sharing"",""รวมเหนือ!L353"")+IMPORTRANGE(""https://docs.google.com/spreadsheets/d/1bWGR5Y7oTgtZIep2hLdTHG-chM0w9aHBSSpJHwm6lak/edit?usp=sharing"","""&amp;"รวมตะวันออกเฉียงเหนือ!L353"")+IMPORTRANGE(""https://docs.google.com/spreadsheets/d/1dCxWUCc_SKNp-qd8qsaa5pPX_-BuQqWJ_-8FnsS4Ki0/edit?usp=sharing"",""รวมกลาง!L353"")+IMPORTRANGE(""https://docs.google.com/spreadsheets/d/1uOzBKYgpuhMUe0xXQLXSct3xZ80hakAMJHdG"&amp;"Jh9616E/edit?usp=sharing"",""รวมใต้!L353"")"),0)</f>
        <v>0</v>
      </c>
      <c r="M364" s="165"/>
      <c r="N364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364" s="165">
        <f t="shared" ca="1" si="116"/>
        <v>0</v>
      </c>
      <c r="P364" s="165"/>
    </row>
    <row r="365" spans="1:16" ht="21.75" customHeight="1" x14ac:dyDescent="0.4">
      <c r="A365" s="158"/>
      <c r="B365" s="159"/>
      <c r="C365" s="159"/>
      <c r="D365" s="166"/>
      <c r="E365" s="167"/>
      <c r="F365" s="167"/>
      <c r="G365" s="34" t="s">
        <v>22</v>
      </c>
      <c r="H365" s="168" t="s">
        <v>12</v>
      </c>
      <c r="I365" s="162"/>
      <c r="J365" s="162"/>
      <c r="K365" s="163"/>
      <c r="L365" s="165">
        <f ca="1">IFERROR(__xludf.DUMMYFUNCTION("IMPORTRANGE(""https://docs.google.com/spreadsheets/d/1yGy89TWty5kAjAO5OL1fLLQ_DL8fVJHFf2LvMm8qymA/edit?usp=sharing"",""รวมเหนือ!L354"")+IMPORTRANGE(""https://docs.google.com/spreadsheets/d/1bWGR5Y7oTgtZIep2hLdTHG-chM0w9aHBSSpJHwm6lak/edit?usp=sharing"","""&amp;"รวมตะวันออกเฉียงเหนือ!L354"")+IMPORTRANGE(""https://docs.google.com/spreadsheets/d/1dCxWUCc_SKNp-qd8qsaa5pPX_-BuQqWJ_-8FnsS4Ki0/edit?usp=sharing"",""รวมกลาง!L354"")+IMPORTRANGE(""https://docs.google.com/spreadsheets/d/1uOzBKYgpuhMUe0xXQLXSct3xZ80hakAMJHdG"&amp;"Jh9616E/edit?usp=sharing"",""รวมใต้!L354"")"),19697940)</f>
        <v>19697940</v>
      </c>
      <c r="M365" s="165"/>
      <c r="N365" s="164">
        <f ca="1">N366+N367+N368+N369</f>
        <v>8145422.659999989</v>
      </c>
      <c r="O365" s="165">
        <f t="shared" ca="1" si="116"/>
        <v>41.351647228085724</v>
      </c>
      <c r="P365" s="165"/>
    </row>
    <row r="366" spans="1:16" ht="21.75" customHeight="1" x14ac:dyDescent="0.3">
      <c r="A366" s="375"/>
      <c r="B366" s="376"/>
      <c r="C366" s="159"/>
      <c r="D366" s="377"/>
      <c r="E366" s="167"/>
      <c r="F366" s="167"/>
      <c r="G366" s="378" t="s">
        <v>129</v>
      </c>
      <c r="H366" s="168" t="s">
        <v>12</v>
      </c>
      <c r="I366" s="186"/>
      <c r="J366" s="186"/>
      <c r="K366" s="221"/>
      <c r="L366" s="165"/>
      <c r="M366" s="165"/>
      <c r="N366" s="164">
        <f ca="1">IFERROR(__xludf.DUMMYFUNCTION("IMPORTRANGE(""https://docs.google.com/spreadsheets/d/1yGy89TWty5kAjAO5OL1fLLQ_DL8fVJHFf2LvMm8qymA/edit?usp=sharing"",""รวมเหนือ!N355"")+IMPORTRANGE(""https://docs.google.com/spreadsheets/d/1bWGR5Y7oTgtZIep2hLdTHG-chM0w9aHBSSpJHwm6lak/edit?usp=sharing"","""&amp;"รวมตะวันออกเฉียงเหนือ!N355"")+IMPORTRANGE(""https://docs.google.com/spreadsheets/d/1dCxWUCc_SKNp-qd8qsaa5pPX_-BuQqWJ_-8FnsS4Ki0/edit?usp=sharing"",""รวมกลาง!N355"")+IMPORTRANGE(""https://docs.google.com/spreadsheets/d/1uOzBKYgpuhMUe0xXQLXSct3xZ80hakAMJHdG"&amp;"Jh9616E/edit?usp=sharing"",""รวมใต้!N355"")"),2613433.30999999)</f>
        <v>2613433.3099999898</v>
      </c>
      <c r="O366" s="165"/>
      <c r="P366" s="165"/>
    </row>
    <row r="367" spans="1:16" ht="21.75" customHeight="1" x14ac:dyDescent="0.3">
      <c r="A367" s="375"/>
      <c r="B367" s="376"/>
      <c r="C367" s="159"/>
      <c r="D367" s="377"/>
      <c r="E367" s="167"/>
      <c r="F367" s="167"/>
      <c r="G367" s="378" t="s">
        <v>130</v>
      </c>
      <c r="H367" s="168" t="s">
        <v>12</v>
      </c>
      <c r="I367" s="186"/>
      <c r="J367" s="186"/>
      <c r="K367" s="221"/>
      <c r="L367" s="165"/>
      <c r="M367" s="165"/>
      <c r="N367" s="164">
        <f ca="1">IFERROR(__xludf.DUMMYFUNCTION("IMPORTRANGE(""https://docs.google.com/spreadsheets/d/1yGy89TWty5kAjAO5OL1fLLQ_DL8fVJHFf2LvMm8qymA/edit?usp=sharing"",""รวมเหนือ!N356"")+IMPORTRANGE(""https://docs.google.com/spreadsheets/d/1bWGR5Y7oTgtZIep2hLdTHG-chM0w9aHBSSpJHwm6lak/edit?usp=sharing"","""&amp;"รวมตะวันออกเฉียงเหนือ!N356"")+IMPORTRANGE(""https://docs.google.com/spreadsheets/d/1dCxWUCc_SKNp-qd8qsaa5pPX_-BuQqWJ_-8FnsS4Ki0/edit?usp=sharing"",""รวมกลาง!N356"")+IMPORTRANGE(""https://docs.google.com/spreadsheets/d/1uOzBKYgpuhMUe0xXQLXSct3xZ80hakAMJHdG"&amp;"Jh9616E/edit?usp=sharing"",""รวมใต้!N356"")"),2265499.26)</f>
        <v>2265499.2599999998</v>
      </c>
      <c r="O367" s="165"/>
      <c r="P367" s="165"/>
    </row>
    <row r="368" spans="1:16" ht="21.75" customHeight="1" x14ac:dyDescent="0.3">
      <c r="A368" s="375"/>
      <c r="B368" s="376"/>
      <c r="C368" s="159"/>
      <c r="D368" s="377"/>
      <c r="E368" s="167"/>
      <c r="F368" s="167"/>
      <c r="G368" s="378" t="s">
        <v>131</v>
      </c>
      <c r="H368" s="168" t="s">
        <v>12</v>
      </c>
      <c r="I368" s="186"/>
      <c r="J368" s="186"/>
      <c r="K368" s="221"/>
      <c r="L368" s="165"/>
      <c r="M368" s="165"/>
      <c r="N368" s="164">
        <f ca="1">IFERROR(__xludf.DUMMYFUNCTION("IMPORTRANGE(""https://docs.google.com/spreadsheets/d/1yGy89TWty5kAjAO5OL1fLLQ_DL8fVJHFf2LvMm8qymA/edit?usp=sharing"",""รวมเหนือ!N357"")+IMPORTRANGE(""https://docs.google.com/spreadsheets/d/1bWGR5Y7oTgtZIep2hLdTHG-chM0w9aHBSSpJHwm6lak/edit?usp=sharing"","""&amp;"รวมตะวันออกเฉียงเหนือ!N357"")+IMPORTRANGE(""https://docs.google.com/spreadsheets/d/1dCxWUCc_SKNp-qd8qsaa5pPX_-BuQqWJ_-8FnsS4Ki0/edit?usp=sharing"",""รวมกลาง!N357"")+IMPORTRANGE(""https://docs.google.com/spreadsheets/d/1uOzBKYgpuhMUe0xXQLXSct3xZ80hakAMJHdG"&amp;"Jh9616E/edit?usp=sharing"",""รวมใต้!N357"")"),2553498.61)</f>
        <v>2553498.61</v>
      </c>
      <c r="O368" s="165"/>
      <c r="P368" s="165"/>
    </row>
    <row r="369" spans="1:16" ht="21.75" customHeight="1" x14ac:dyDescent="0.3">
      <c r="A369" s="375"/>
      <c r="B369" s="376"/>
      <c r="C369" s="159"/>
      <c r="D369" s="377"/>
      <c r="E369" s="167"/>
      <c r="F369" s="167"/>
      <c r="G369" s="378" t="s">
        <v>132</v>
      </c>
      <c r="H369" s="168" t="s">
        <v>12</v>
      </c>
      <c r="I369" s="186"/>
      <c r="J369" s="186"/>
      <c r="K369" s="221"/>
      <c r="L369" s="165"/>
      <c r="M369" s="165"/>
      <c r="N369" s="164">
        <f ca="1">IFERROR(__xludf.DUMMYFUNCTION("IMPORTRANGE(""https://docs.google.com/spreadsheets/d/1yGy89TWty5kAjAO5OL1fLLQ_DL8fVJHFf2LvMm8qymA/edit?usp=sharing"",""รวมเหนือ!N358"")+IMPORTRANGE(""https://docs.google.com/spreadsheets/d/1bWGR5Y7oTgtZIep2hLdTHG-chM0w9aHBSSpJHwm6lak/edit?usp=sharing"","""&amp;"รวมตะวันออกเฉียงเหนือ!N358"")+IMPORTRANGE(""https://docs.google.com/spreadsheets/d/1dCxWUCc_SKNp-qd8qsaa5pPX_-BuQqWJ_-8FnsS4Ki0/edit?usp=sharing"",""รวมกลาง!N358"")+IMPORTRANGE(""https://docs.google.com/spreadsheets/d/1uOzBKYgpuhMUe0xXQLXSct3xZ80hakAMJHdG"&amp;"Jh9616E/edit?usp=sharing"",""รวมใต้!N358"")"),712991.48)</f>
        <v>712991.48</v>
      </c>
      <c r="O369" s="165"/>
      <c r="P369" s="165"/>
    </row>
    <row r="370" spans="1:16" ht="21.75" customHeight="1" x14ac:dyDescent="0.3">
      <c r="A370" s="174"/>
      <c r="B370" s="175"/>
      <c r="C370" s="159" t="s">
        <v>16</v>
      </c>
      <c r="D370" s="176" t="s">
        <v>41</v>
      </c>
      <c r="E370" s="177"/>
      <c r="F370" s="177"/>
      <c r="G370" s="178"/>
      <c r="H370" s="179"/>
      <c r="I370" s="162"/>
      <c r="J370" s="162"/>
      <c r="K370" s="163"/>
      <c r="L370" s="180"/>
      <c r="M370" s="180"/>
      <c r="N370" s="180"/>
      <c r="O370" s="180"/>
      <c r="P370" s="180"/>
    </row>
    <row r="371" spans="1:16" ht="21.75" customHeight="1" x14ac:dyDescent="0.3">
      <c r="A371" s="174"/>
      <c r="B371" s="175"/>
      <c r="C371" s="175"/>
      <c r="D371" s="181">
        <v>1</v>
      </c>
      <c r="E371" s="182" t="s">
        <v>42</v>
      </c>
      <c r="F371" s="183"/>
      <c r="G371" s="184"/>
      <c r="H371" s="185"/>
      <c r="I371" s="186"/>
      <c r="J371" s="186">
        <f ca="1">IFERROR(__xludf.DUMMYFUNCTION("IMPORTRANGE(""https://docs.google.com/spreadsheets/d/1yGy89TWty5kAjAO5OL1fLLQ_DL8fVJHFf2LvMm8qymA/edit?usp=sharing"",""รวมเหนือ!J360"")+IMPORTRANGE(""https://docs.google.com/spreadsheets/d/1bWGR5Y7oTgtZIep2hLdTHG-chM0w9aHBSSpJHwm6lak/edit?usp=sharing"","""&amp;"รวมตะวันออกเฉียงเหนือ!J360"")+IMPORTRANGE(""https://docs.google.com/spreadsheets/d/1dCxWUCc_SKNp-qd8qsaa5pPX_-BuQqWJ_-8FnsS4Ki0/edit?usp=sharing"",""รวมกลาง!J360"")+IMPORTRANGE(""https://docs.google.com/spreadsheets/d/1uOzBKYgpuhMUe0xXQLXSct3xZ80hakAMJHdG"&amp;"Jh9616E/edit?usp=sharing"",""รวมใต้!J360"")"),1)</f>
        <v>1</v>
      </c>
      <c r="K371" s="163"/>
      <c r="L371" s="180"/>
      <c r="M371" s="180"/>
      <c r="N371" s="180"/>
      <c r="O371" s="180"/>
      <c r="P371" s="180"/>
    </row>
    <row r="372" spans="1:16" ht="21.75" customHeight="1" x14ac:dyDescent="0.3">
      <c r="A372" s="174"/>
      <c r="B372" s="175"/>
      <c r="C372" s="175"/>
      <c r="D372" s="188">
        <v>2</v>
      </c>
      <c r="E372" s="189" t="s">
        <v>43</v>
      </c>
      <c r="F372" s="190"/>
      <c r="G372" s="191"/>
      <c r="H372" s="185"/>
      <c r="I372" s="186"/>
      <c r="J372" s="187">
        <f ca="1">IFERROR(__xludf.DUMMYFUNCTION("IMPORTRANGE(""https://docs.google.com/spreadsheets/d/1yGy89TWty5kAjAO5OL1fLLQ_DL8fVJHFf2LvMm8qymA/edit?usp=sharing"",""รวมเหนือ!J361"")+IMPORTRANGE(""https://docs.google.com/spreadsheets/d/1bWGR5Y7oTgtZIep2hLdTHG-chM0w9aHBSSpJHwm6lak/edit?usp=sharing"","""&amp;"รวมตะวันออกเฉียงเหนือ!J361"")+IMPORTRANGE(""https://docs.google.com/spreadsheets/d/1dCxWUCc_SKNp-qd8qsaa5pPX_-BuQqWJ_-8FnsS4Ki0/edit?usp=sharing"",""รวมกลาง!J361"")+IMPORTRANGE(""https://docs.google.com/spreadsheets/d/1uOzBKYgpuhMUe0xXQLXSct3xZ80hakAMJHdG"&amp;"Jh9616E/edit?usp=sharing"",""รวมใต้!J361"")"),51)</f>
        <v>51</v>
      </c>
      <c r="K372" s="163"/>
      <c r="L372" s="180" t="s">
        <v>39</v>
      </c>
      <c r="M372" s="180"/>
      <c r="N372" s="180" t="s">
        <v>39</v>
      </c>
      <c r="O372" s="180"/>
      <c r="P372" s="180"/>
    </row>
    <row r="373" spans="1:16" ht="21.75" customHeight="1" x14ac:dyDescent="0.3">
      <c r="A373" s="174"/>
      <c r="B373" s="175"/>
      <c r="C373" s="175"/>
      <c r="D373" s="192"/>
      <c r="E373" s="193" t="s">
        <v>44</v>
      </c>
      <c r="F373" s="194"/>
      <c r="G373" s="195"/>
      <c r="H373" s="185"/>
      <c r="I373" s="186"/>
      <c r="J373" s="187">
        <f ca="1">IFERROR(__xludf.DUMMYFUNCTION("IMPORTRANGE(""https://docs.google.com/spreadsheets/d/1yGy89TWty5kAjAO5OL1fLLQ_DL8fVJHFf2LvMm8qymA/edit?usp=sharing"",""รวมเหนือ!J362"")+IMPORTRANGE(""https://docs.google.com/spreadsheets/d/1bWGR5Y7oTgtZIep2hLdTHG-chM0w9aHBSSpJHwm6lak/edit?usp=sharing"","""&amp;"รวมตะวันออกเฉียงเหนือ!J362"")+IMPORTRANGE(""https://docs.google.com/spreadsheets/d/1dCxWUCc_SKNp-qd8qsaa5pPX_-BuQqWJ_-8FnsS4Ki0/edit?usp=sharing"",""รวมกลาง!J362"")+IMPORTRANGE(""https://docs.google.com/spreadsheets/d/1uOzBKYgpuhMUe0xXQLXSct3xZ80hakAMJHdG"&amp;"Jh9616E/edit?usp=sharing"",""รวมใต้!J362"")"),50)</f>
        <v>50</v>
      </c>
      <c r="K373" s="163"/>
      <c r="L373" s="180"/>
      <c r="M373" s="180"/>
      <c r="N373" s="180"/>
      <c r="O373" s="180"/>
      <c r="P373" s="180"/>
    </row>
    <row r="374" spans="1:16" ht="21.75" customHeight="1" x14ac:dyDescent="0.3">
      <c r="A374" s="174"/>
      <c r="B374" s="175"/>
      <c r="C374" s="175"/>
      <c r="D374" s="192"/>
      <c r="E374" s="193" t="s">
        <v>45</v>
      </c>
      <c r="F374" s="194"/>
      <c r="G374" s="195"/>
      <c r="H374" s="185"/>
      <c r="I374" s="186"/>
      <c r="J374" s="186">
        <f ca="1">IFERROR(__xludf.DUMMYFUNCTION("IMPORTRANGE(""https://docs.google.com/spreadsheets/d/1yGy89TWty5kAjAO5OL1fLLQ_DL8fVJHFf2LvMm8qymA/edit?usp=sharing"",""รวมเหนือ!J363"")+IMPORTRANGE(""https://docs.google.com/spreadsheets/d/1bWGR5Y7oTgtZIep2hLdTHG-chM0w9aHBSSpJHwm6lak/edit?usp=sharing"","""&amp;"รวมตะวันออกเฉียงเหนือ!J363"")+IMPORTRANGE(""https://docs.google.com/spreadsheets/d/1dCxWUCc_SKNp-qd8qsaa5pPX_-BuQqWJ_-8FnsS4Ki0/edit?usp=sharing"",""รวมกลาง!J363"")+IMPORTRANGE(""https://docs.google.com/spreadsheets/d/1uOzBKYgpuhMUe0xXQLXSct3xZ80hakAMJHdG"&amp;"Jh9616E/edit?usp=sharing"",""รวมใต้!J363"")"),45)</f>
        <v>45</v>
      </c>
      <c r="K374" s="163"/>
      <c r="L374" s="180"/>
      <c r="M374" s="180"/>
      <c r="N374" s="180"/>
      <c r="O374" s="180"/>
      <c r="P374" s="180"/>
    </row>
    <row r="375" spans="1:16" ht="21.75" hidden="1" customHeight="1" x14ac:dyDescent="0.3">
      <c r="A375" s="174"/>
      <c r="B375" s="175"/>
      <c r="C375" s="175"/>
      <c r="D375" s="192"/>
      <c r="E375" s="196"/>
      <c r="F375" s="193" t="s">
        <v>67</v>
      </c>
      <c r="G375" s="195"/>
      <c r="H375" s="179"/>
      <c r="I375" s="186"/>
      <c r="J375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5" s="163"/>
      <c r="L375" s="180"/>
      <c r="M375" s="180"/>
      <c r="N375" s="180"/>
      <c r="O375" s="180"/>
      <c r="P375" s="180"/>
    </row>
    <row r="376" spans="1:16" ht="21.75" customHeight="1" x14ac:dyDescent="0.3">
      <c r="A376" s="174"/>
      <c r="B376" s="175"/>
      <c r="C376" s="175"/>
      <c r="D376" s="192"/>
      <c r="E376" s="196"/>
      <c r="F376" s="194"/>
      <c r="G376" s="288" t="s">
        <v>133</v>
      </c>
      <c r="H376" s="179" t="s">
        <v>37</v>
      </c>
      <c r="I376" s="187">
        <v>120</v>
      </c>
      <c r="J376" s="187">
        <f ca="1">IFERROR(__xludf.DUMMYFUNCTION("IMPORTRANGE(""https://docs.google.com/spreadsheets/d/1-fhVXPMm30suWK0-eslVgeT9cTVfCsDeUsq7Bk5UZE8/edit?usp=sharing"",""ทั้งประเทศ!J260"")"),0)</f>
        <v>0</v>
      </c>
      <c r="K376" s="163">
        <f ca="1">IF(I376&gt;0,J376*100/I376,0)</f>
        <v>0</v>
      </c>
      <c r="L376" s="180"/>
      <c r="M376" s="180"/>
      <c r="N376" s="180"/>
      <c r="O376" s="180"/>
      <c r="P376" s="180"/>
    </row>
    <row r="377" spans="1:16" ht="21.75" customHeight="1" x14ac:dyDescent="0.3">
      <c r="A377" s="174"/>
      <c r="B377" s="175"/>
      <c r="C377" s="175"/>
      <c r="D377" s="192"/>
      <c r="E377" s="196"/>
      <c r="F377" s="194"/>
      <c r="G377" s="195" t="s">
        <v>134</v>
      </c>
      <c r="H377" s="179"/>
      <c r="I377" s="162"/>
      <c r="J377" s="186"/>
      <c r="K377" s="163"/>
      <c r="L377" s="180"/>
      <c r="M377" s="180"/>
      <c r="N377" s="180"/>
      <c r="O377" s="180"/>
      <c r="P377" s="180"/>
    </row>
    <row r="378" spans="1:16" ht="21.75" hidden="1" customHeight="1" x14ac:dyDescent="0.3">
      <c r="A378" s="174"/>
      <c r="B378" s="175"/>
      <c r="C378" s="175"/>
      <c r="D378" s="192"/>
      <c r="E378" s="196"/>
      <c r="F378" s="194"/>
      <c r="G378" s="347"/>
      <c r="H378" s="185" t="s">
        <v>121</v>
      </c>
      <c r="I378" s="186">
        <f>SUM(I380,I382)</f>
        <v>0</v>
      </c>
      <c r="J378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378" s="163">
        <f t="shared" ref="K378:K379" si="117">IF(I378&gt;0,J378*100/I378,0)</f>
        <v>0</v>
      </c>
      <c r="L378" s="180"/>
      <c r="M378" s="180"/>
      <c r="N378" s="180"/>
      <c r="O378" s="180"/>
      <c r="P378" s="180"/>
    </row>
    <row r="379" spans="1:16" ht="21.75" customHeight="1" x14ac:dyDescent="0.3">
      <c r="A379" s="174"/>
      <c r="B379" s="175"/>
      <c r="C379" s="175"/>
      <c r="D379" s="192"/>
      <c r="E379" s="196"/>
      <c r="F379" s="379"/>
      <c r="G379" s="380" t="s">
        <v>135</v>
      </c>
      <c r="H379" s="381" t="s">
        <v>37</v>
      </c>
      <c r="I379" s="162">
        <f ca="1">IFERROR(__xludf.DUMMYFUNCTION("IMPORTRANGE(""https://docs.google.com/spreadsheets/d/1yGy89TWty5kAjAO5OL1fLLQ_DL8fVJHFf2LvMm8qymA/edit?usp=sharing"",""รวมเหนือ!I368"")+IMPORTRANGE(""https://docs.google.com/spreadsheets/d/1bWGR5Y7oTgtZIep2hLdTHG-chM0w9aHBSSpJHwm6lak/edit?usp=sharing"","""&amp;"รวมตะวันออกเฉียงเหนือ!I368"")+IMPORTRANGE(""https://docs.google.com/spreadsheets/d/1dCxWUCc_SKNp-qd8qsaa5pPX_-BuQqWJ_-8FnsS4Ki0/edit?usp=sharing"",""รวมกลาง!I368"")+IMPORTRANGE(""https://docs.google.com/spreadsheets/d/1uOzBKYgpuhMUe0xXQLXSct3xZ80hakAMJHdG"&amp;"Jh9616E/edit?usp=sharing"",""รวมใต้!I368"")"),2805)</f>
        <v>2805</v>
      </c>
      <c r="J379" s="186">
        <f ca="1">IFERROR(__xludf.DUMMYFUNCTION("IMPORTRANGE(""https://docs.google.com/spreadsheets/d/1yGy89TWty5kAjAO5OL1fLLQ_DL8fVJHFf2LvMm8qymA/edit?usp=sharing"",""รวมเหนือ!J368"")+IMPORTRANGE(""https://docs.google.com/spreadsheets/d/1bWGR5Y7oTgtZIep2hLdTHG-chM0w9aHBSSpJHwm6lak/edit?usp=sharing"","""&amp;"รวมตะวันออกเฉียงเหนือ!J368"")+IMPORTRANGE(""https://docs.google.com/spreadsheets/d/1dCxWUCc_SKNp-qd8qsaa5pPX_-BuQqWJ_-8FnsS4Ki0/edit?usp=sharing"",""รวมกลาง!J368"")+IMPORTRANGE(""https://docs.google.com/spreadsheets/d/1uOzBKYgpuhMUe0xXQLXSct3xZ80hakAMJHdG"&amp;"Jh9616E/edit?usp=sharing"",""รวมใต้!J368"")"),2624)</f>
        <v>2624</v>
      </c>
      <c r="K379" s="163">
        <f t="shared" ca="1" si="117"/>
        <v>93.547237076648841</v>
      </c>
      <c r="L379" s="180"/>
      <c r="M379" s="180"/>
      <c r="N379" s="180"/>
      <c r="O379" s="180"/>
      <c r="P379" s="180"/>
    </row>
    <row r="380" spans="1:16" ht="21.75" customHeight="1" x14ac:dyDescent="0.3">
      <c r="A380" s="174"/>
      <c r="B380" s="175"/>
      <c r="C380" s="175"/>
      <c r="D380" s="192"/>
      <c r="E380" s="196"/>
      <c r="F380" s="194"/>
      <c r="G380" s="382" t="s">
        <v>136</v>
      </c>
      <c r="H380" s="179"/>
      <c r="I380" s="162"/>
      <c r="J380" s="187"/>
      <c r="K380" s="163"/>
      <c r="L380" s="180"/>
      <c r="M380" s="180"/>
      <c r="N380" s="180"/>
      <c r="O380" s="180"/>
      <c r="P380" s="180"/>
    </row>
    <row r="381" spans="1:16" ht="21.75" customHeight="1" x14ac:dyDescent="0.3">
      <c r="A381" s="174"/>
      <c r="B381" s="175"/>
      <c r="C381" s="175"/>
      <c r="D381" s="192"/>
      <c r="E381" s="196"/>
      <c r="F381" s="194"/>
      <c r="G381" s="380" t="s">
        <v>137</v>
      </c>
      <c r="H381" s="179" t="s">
        <v>37</v>
      </c>
      <c r="I381" s="162">
        <f ca="1">IFERROR(__xludf.DUMMYFUNCTION("IMPORTRANGE(""https://docs.google.com/spreadsheets/d/1yGy89TWty5kAjAO5OL1fLLQ_DL8fVJHFf2LvMm8qymA/edit?usp=sharing"",""รวมเหนือ!I370"")+IMPORTRANGE(""https://docs.google.com/spreadsheets/d/1bWGR5Y7oTgtZIep2hLdTHG-chM0w9aHBSSpJHwm6lak/edit?usp=sharing"","""&amp;"รวมตะวันออกเฉียงเหนือ!I370"")+IMPORTRANGE(""https://docs.google.com/spreadsheets/d/1dCxWUCc_SKNp-qd8qsaa5pPX_-BuQqWJ_-8FnsS4Ki0/edit?usp=sharing"",""รวมกลาง!I370"")+IMPORTRANGE(""https://docs.google.com/spreadsheets/d/1uOzBKYgpuhMUe0xXQLXSct3xZ80hakAMJHdG"&amp;"Jh9616E/edit?usp=sharing"",""รวมใต้!I370"")"),2805)</f>
        <v>2805</v>
      </c>
      <c r="J381" s="187">
        <f ca="1">IFERROR(__xludf.DUMMYFUNCTION("IMPORTRANGE(""https://docs.google.com/spreadsheets/d/1yGy89TWty5kAjAO5OL1fLLQ_DL8fVJHFf2LvMm8qymA/edit?usp=sharing"",""รวมเหนือ!J370"")+IMPORTRANGE(""https://docs.google.com/spreadsheets/d/1bWGR5Y7oTgtZIep2hLdTHG-chM0w9aHBSSpJHwm6lak/edit?usp=sharing"","""&amp;"รวมตะวันออกเฉียงเหนือ!J370"")+IMPORTRANGE(""https://docs.google.com/spreadsheets/d/1dCxWUCc_SKNp-qd8qsaa5pPX_-BuQqWJ_-8FnsS4Ki0/edit?usp=sharing"",""รวมกลาง!J370"")+IMPORTRANGE(""https://docs.google.com/spreadsheets/d/1uOzBKYgpuhMUe0xXQLXSct3xZ80hakAMJHdG"&amp;"Jh9616E/edit?usp=sharing"",""รวมใต้!J370"")"),2472)</f>
        <v>2472</v>
      </c>
      <c r="K381" s="163">
        <f ca="1">IF(I381&gt;0,J381*100/I381,0)</f>
        <v>88.128342245989302</v>
      </c>
      <c r="L381" s="180"/>
      <c r="M381" s="180"/>
      <c r="N381" s="180"/>
      <c r="O381" s="180"/>
      <c r="P381" s="180"/>
    </row>
    <row r="382" spans="1:16" ht="21.75" hidden="1" customHeight="1" x14ac:dyDescent="0.3">
      <c r="A382" s="174"/>
      <c r="B382" s="175"/>
      <c r="C382" s="175"/>
      <c r="D382" s="192"/>
      <c r="E382" s="196"/>
      <c r="F382" s="194"/>
      <c r="G382" s="383"/>
      <c r="H382" s="179"/>
      <c r="I382" s="162"/>
      <c r="J382" s="384"/>
      <c r="K382" s="163"/>
      <c r="L382" s="180"/>
      <c r="M382" s="180"/>
      <c r="N382" s="180"/>
      <c r="O382" s="180"/>
      <c r="P382" s="180"/>
    </row>
    <row r="383" spans="1:16" ht="21.75" customHeight="1" x14ac:dyDescent="0.3">
      <c r="A383" s="174"/>
      <c r="B383" s="175"/>
      <c r="C383" s="175"/>
      <c r="D383" s="192"/>
      <c r="E383" s="196"/>
      <c r="F383" s="194"/>
      <c r="G383" s="380" t="s">
        <v>138</v>
      </c>
      <c r="H383" s="179" t="s">
        <v>37</v>
      </c>
      <c r="I383" s="162">
        <f ca="1">IFERROR(__xludf.DUMMYFUNCTION("IMPORTRANGE(""https://docs.google.com/spreadsheets/d/1yGy89TWty5kAjAO5OL1fLLQ_DL8fVJHFf2LvMm8qymA/edit?usp=sharing"",""รวมเหนือ!I372"")+IMPORTRANGE(""https://docs.google.com/spreadsheets/d/1bWGR5Y7oTgtZIep2hLdTHG-chM0w9aHBSSpJHwm6lak/edit?usp=sharing"","""&amp;"รวมตะวันออกเฉียงเหนือ!I372"")+IMPORTRANGE(""https://docs.google.com/spreadsheets/d/1dCxWUCc_SKNp-qd8qsaa5pPX_-BuQqWJ_-8FnsS4Ki0/edit?usp=sharing"",""รวมกลาง!I372"")+IMPORTRANGE(""https://docs.google.com/spreadsheets/d/1uOzBKYgpuhMUe0xXQLXSct3xZ80hakAMJHdG"&amp;"Jh9616E/edit?usp=sharing"",""รวมใต้!I372"")"),2805)</f>
        <v>2805</v>
      </c>
      <c r="J383" s="187">
        <f ca="1">IFERROR(__xludf.DUMMYFUNCTION("IMPORTRANGE(""https://docs.google.com/spreadsheets/d/1yGy89TWty5kAjAO5OL1fLLQ_DL8fVJHFf2LvMm8qymA/edit?usp=sharing"",""รวมเหนือ!J372"")+IMPORTRANGE(""https://docs.google.com/spreadsheets/d/1bWGR5Y7oTgtZIep2hLdTHG-chM0w9aHBSSpJHwm6lak/edit?usp=sharing"","""&amp;"รวมตะวันออกเฉียงเหนือ!J372"")+IMPORTRANGE(""https://docs.google.com/spreadsheets/d/1dCxWUCc_SKNp-qd8qsaa5pPX_-BuQqWJ_-8FnsS4Ki0/edit?usp=sharing"",""รวมกลาง!J372"")+IMPORTRANGE(""https://docs.google.com/spreadsheets/d/1uOzBKYgpuhMUe0xXQLXSct3xZ80hakAMJHdG"&amp;"Jh9616E/edit?usp=sharing"",""รวมใต้!J372"")"),2153)</f>
        <v>2153</v>
      </c>
      <c r="K383" s="163">
        <f t="shared" ref="K383:K384" ca="1" si="118">IF(I383&gt;0,J383*100/I383,0)</f>
        <v>76.755793226381456</v>
      </c>
      <c r="L383" s="180"/>
      <c r="M383" s="180"/>
      <c r="N383" s="180"/>
      <c r="O383" s="180"/>
      <c r="P383" s="180"/>
    </row>
    <row r="384" spans="1:16" ht="21.75" customHeight="1" x14ac:dyDescent="0.3">
      <c r="A384" s="174"/>
      <c r="B384" s="175"/>
      <c r="C384" s="175"/>
      <c r="D384" s="192"/>
      <c r="E384" s="196"/>
      <c r="F384" s="194"/>
      <c r="G384" s="288" t="s">
        <v>139</v>
      </c>
      <c r="H384" s="179" t="s">
        <v>37</v>
      </c>
      <c r="I384" s="187">
        <v>100</v>
      </c>
      <c r="J384" s="187">
        <f ca="1">IFERROR(__xludf.DUMMYFUNCTION("IMPORTRANGE(""https://docs.google.com/spreadsheets/d/1-fhVXPMm30suWK0-eslVgeT9cTVfCsDeUsq7Bk5UZE8/edit?usp=sharing"",""ทั้งประเทศ!J268"")"),0)</f>
        <v>0</v>
      </c>
      <c r="K384" s="163">
        <f t="shared" ca="1" si="118"/>
        <v>0</v>
      </c>
      <c r="L384" s="180"/>
      <c r="M384" s="180"/>
      <c r="N384" s="180"/>
      <c r="O384" s="180"/>
      <c r="P384" s="180"/>
    </row>
    <row r="385" spans="1:16" ht="21.75" customHeight="1" x14ac:dyDescent="0.3">
      <c r="A385" s="174"/>
      <c r="B385" s="175"/>
      <c r="C385" s="175"/>
      <c r="D385" s="192"/>
      <c r="E385" s="196"/>
      <c r="F385" s="194"/>
      <c r="G385" s="195" t="s">
        <v>140</v>
      </c>
      <c r="H385" s="179"/>
      <c r="I385" s="186"/>
      <c r="J385" s="186"/>
      <c r="K385" s="163"/>
      <c r="L385" s="180"/>
      <c r="M385" s="180"/>
      <c r="N385" s="180"/>
      <c r="O385" s="180"/>
      <c r="P385" s="180"/>
    </row>
    <row r="386" spans="1:16" ht="21.75" customHeight="1" x14ac:dyDescent="0.3">
      <c r="A386" s="174"/>
      <c r="B386" s="175"/>
      <c r="C386" s="175"/>
      <c r="D386" s="192"/>
      <c r="E386" s="194"/>
      <c r="F386" s="201" t="s">
        <v>50</v>
      </c>
      <c r="G386" s="195"/>
      <c r="H386" s="279" t="s">
        <v>121</v>
      </c>
      <c r="I386" s="186">
        <f ca="1">IFERROR(__xludf.DUMMYFUNCTION("IMPORTRANGE(""https://docs.google.com/spreadsheets/d/1yGy89TWty5kAjAO5OL1fLLQ_DL8fVJHFf2LvMm8qymA/edit?usp=sharing"",""รวมเหนือ!I375"")+IMPORTRANGE(""https://docs.google.com/spreadsheets/d/1bWGR5Y7oTgtZIep2hLdTHG-chM0w9aHBSSpJHwm6lak/edit?usp=sharing"","""&amp;"รวมตะวันออกเฉียงเหนือ!I375"")+IMPORTRANGE(""https://docs.google.com/spreadsheets/d/1dCxWUCc_SKNp-qd8qsaa5pPX_-BuQqWJ_-8FnsS4Ki0/edit?usp=sharing"",""รวมกลาง!I375"")+IMPORTRANGE(""https://docs.google.com/spreadsheets/d/1uOzBKYgpuhMUe0xXQLXSct3xZ80hakAMJHdG"&amp;"Jh9616E/edit?usp=sharing"",""รวมใต้!I375"")"),8480)</f>
        <v>8480</v>
      </c>
      <c r="J386" s="186">
        <f ca="1">IFERROR(__xludf.DUMMYFUNCTION("IMPORTRANGE(""https://docs.google.com/spreadsheets/d/1yGy89TWty5kAjAO5OL1fLLQ_DL8fVJHFf2LvMm8qymA/edit?usp=sharing"",""รวมเหนือ!J375"")+IMPORTRANGE(""https://docs.google.com/spreadsheets/d/1bWGR5Y7oTgtZIep2hLdTHG-chM0w9aHBSSpJHwm6lak/edit?usp=sharing"","""&amp;"รวมตะวันออกเฉียงเหนือ!J375"")+IMPORTRANGE(""https://docs.google.com/spreadsheets/d/1dCxWUCc_SKNp-qd8qsaa5pPX_-BuQqWJ_-8FnsS4Ki0/edit?usp=sharing"",""รวมกลาง!J375"")+IMPORTRANGE(""https://docs.google.com/spreadsheets/d/1uOzBKYgpuhMUe0xXQLXSct3xZ80hakAMJHdG"&amp;"Jh9616E/edit?usp=sharing"",""รวมใต้!J375"")"),2576)</f>
        <v>2576</v>
      </c>
      <c r="K386" s="163">
        <f t="shared" ref="K386:K388" ca="1" si="119">IF(I386&gt;0,J386*100/I386,0)</f>
        <v>30.377358490566039</v>
      </c>
      <c r="L386" s="180"/>
      <c r="M386" s="180"/>
      <c r="N386" s="180"/>
      <c r="O386" s="180"/>
      <c r="P386" s="180"/>
    </row>
    <row r="387" spans="1:16" ht="21.75" customHeight="1" x14ac:dyDescent="0.3">
      <c r="A387" s="174"/>
      <c r="B387" s="175"/>
      <c r="C387" s="175"/>
      <c r="D387" s="192"/>
      <c r="E387" s="194"/>
      <c r="F387" s="194"/>
      <c r="G387" s="280" t="s">
        <v>141</v>
      </c>
      <c r="H387" s="279" t="s">
        <v>121</v>
      </c>
      <c r="I387" s="186">
        <f ca="1">IFERROR(__xludf.DUMMYFUNCTION("IMPORTRANGE(""https://docs.google.com/spreadsheets/d/1yGy89TWty5kAjAO5OL1fLLQ_DL8fVJHFf2LvMm8qymA/edit?usp=sharing"",""รวมเหนือ!I376"")+IMPORTRANGE(""https://docs.google.com/spreadsheets/d/1bWGR5Y7oTgtZIep2hLdTHG-chM0w9aHBSSpJHwm6lak/edit?usp=sharing"","""&amp;"รวมตะวันออกเฉียงเหนือ!I376"")+IMPORTRANGE(""https://docs.google.com/spreadsheets/d/1dCxWUCc_SKNp-qd8qsaa5pPX_-BuQqWJ_-8FnsS4Ki0/edit?usp=sharing"",""รวมกลาง!I376"")+IMPORTRANGE(""https://docs.google.com/spreadsheets/d/1uOzBKYgpuhMUe0xXQLXSct3xZ80hakAMJHdG"&amp;"Jh9616E/edit?usp=sharing"",""รวมใต้!I376"")"),3939)</f>
        <v>3939</v>
      </c>
      <c r="J387" s="187">
        <f ca="1">IFERROR(__xludf.DUMMYFUNCTION("IMPORTRANGE(""https://docs.google.com/spreadsheets/d/1yGy89TWty5kAjAO5OL1fLLQ_DL8fVJHFf2LvMm8qymA/edit?usp=sharing"",""รวมเหนือ!J376"")+IMPORTRANGE(""https://docs.google.com/spreadsheets/d/1bWGR5Y7oTgtZIep2hLdTHG-chM0w9aHBSSpJHwm6lak/edit?usp=sharing"","""&amp;"รวมตะวันออกเฉียงเหนือ!J376"")+IMPORTRANGE(""https://docs.google.com/spreadsheets/d/1dCxWUCc_SKNp-qd8qsaa5pPX_-BuQqWJ_-8FnsS4Ki0/edit?usp=sharing"",""รวมกลาง!J376"")+IMPORTRANGE(""https://docs.google.com/spreadsheets/d/1uOzBKYgpuhMUe0xXQLXSct3xZ80hakAMJHdG"&amp;"Jh9616E/edit?usp=sharing"",""รวมใต้!J376"")"),1118)</f>
        <v>1118</v>
      </c>
      <c r="K387" s="163">
        <f t="shared" ca="1" si="119"/>
        <v>28.382838283828384</v>
      </c>
      <c r="L387" s="180"/>
      <c r="M387" s="180"/>
      <c r="N387" s="180"/>
      <c r="O387" s="180"/>
      <c r="P387" s="180"/>
    </row>
    <row r="388" spans="1:16" ht="21.75" customHeight="1" x14ac:dyDescent="0.3">
      <c r="A388" s="174"/>
      <c r="B388" s="175"/>
      <c r="C388" s="175"/>
      <c r="D388" s="192"/>
      <c r="E388" s="194"/>
      <c r="F388" s="194"/>
      <c r="G388" s="280" t="s">
        <v>142</v>
      </c>
      <c r="H388" s="279" t="s">
        <v>121</v>
      </c>
      <c r="I388" s="186">
        <f ca="1">IFERROR(__xludf.DUMMYFUNCTION("IMPORTRANGE(""https://docs.google.com/spreadsheets/d/1yGy89TWty5kAjAO5OL1fLLQ_DL8fVJHFf2LvMm8qymA/edit?usp=sharing"",""รวมเหนือ!I377"")+IMPORTRANGE(""https://docs.google.com/spreadsheets/d/1bWGR5Y7oTgtZIep2hLdTHG-chM0w9aHBSSpJHwm6lak/edit?usp=sharing"","""&amp;"รวมตะวันออกเฉียงเหนือ!I377"")+IMPORTRANGE(""https://docs.google.com/spreadsheets/d/1dCxWUCc_SKNp-qd8qsaa5pPX_-BuQqWJ_-8FnsS4Ki0/edit?usp=sharing"",""รวมกลาง!I377"")+IMPORTRANGE(""https://docs.google.com/spreadsheets/d/1uOzBKYgpuhMUe0xXQLXSct3xZ80hakAMJHdG"&amp;"Jh9616E/edit?usp=sharing"",""รวมใต้!I377"")"),4541)</f>
        <v>4541</v>
      </c>
      <c r="J388" s="187">
        <f ca="1">IFERROR(__xludf.DUMMYFUNCTION("IMPORTRANGE(""https://docs.google.com/spreadsheets/d/1yGy89TWty5kAjAO5OL1fLLQ_DL8fVJHFf2LvMm8qymA/edit?usp=sharing"",""รวมเหนือ!J377"")+IMPORTRANGE(""https://docs.google.com/spreadsheets/d/1bWGR5Y7oTgtZIep2hLdTHG-chM0w9aHBSSpJHwm6lak/edit?usp=sharing"","""&amp;"รวมตะวันออกเฉียงเหนือ!J377"")+IMPORTRANGE(""https://docs.google.com/spreadsheets/d/1dCxWUCc_SKNp-qd8qsaa5pPX_-BuQqWJ_-8FnsS4Ki0/edit?usp=sharing"",""รวมกลาง!J377"")+IMPORTRANGE(""https://docs.google.com/spreadsheets/d/1uOzBKYgpuhMUe0xXQLXSct3xZ80hakAMJHdG"&amp;"Jh9616E/edit?usp=sharing"",""รวมใต้!J377"")"),1458)</f>
        <v>1458</v>
      </c>
      <c r="K388" s="163">
        <f t="shared" ca="1" si="119"/>
        <v>32.107465316009687</v>
      </c>
      <c r="L388" s="180"/>
      <c r="M388" s="180"/>
      <c r="N388" s="180"/>
      <c r="O388" s="180"/>
      <c r="P388" s="180"/>
    </row>
    <row r="389" spans="1:16" ht="21.75" customHeight="1" x14ac:dyDescent="0.3">
      <c r="A389" s="174"/>
      <c r="B389" s="175"/>
      <c r="C389" s="175"/>
      <c r="D389" s="192"/>
      <c r="E389" s="193" t="s">
        <v>51</v>
      </c>
      <c r="F389" s="194"/>
      <c r="G389" s="195"/>
      <c r="H389" s="185"/>
      <c r="I389" s="186"/>
      <c r="J389" s="186">
        <f ca="1">IFERROR(__xludf.DUMMYFUNCTION("IMPORTRANGE(""https://docs.google.com/spreadsheets/d/1yGy89TWty5kAjAO5OL1fLLQ_DL8fVJHFf2LvMm8qymA/edit?usp=sharing"",""รวมเหนือ!J378"")+IMPORTRANGE(""https://docs.google.com/spreadsheets/d/1bWGR5Y7oTgtZIep2hLdTHG-chM0w9aHBSSpJHwm6lak/edit?usp=sharing"","""&amp;"รวมตะวันออกเฉียงเหนือ!J378"")+IMPORTRANGE(""https://docs.google.com/spreadsheets/d/1dCxWUCc_SKNp-qd8qsaa5pPX_-BuQqWJ_-8FnsS4Ki0/edit?usp=sharing"",""รวมกลาง!J378"")+IMPORTRANGE(""https://docs.google.com/spreadsheets/d/1uOzBKYgpuhMUe0xXQLXSct3xZ80hakAMJHdG"&amp;"Jh9616E/edit?usp=sharing"",""รวมใต้!J378"")"),3)</f>
        <v>3</v>
      </c>
      <c r="K389" s="163"/>
      <c r="L389" s="180"/>
      <c r="M389" s="180"/>
      <c r="N389" s="180"/>
      <c r="O389" s="180"/>
      <c r="P389" s="180"/>
    </row>
    <row r="390" spans="1:16" ht="21.75" customHeight="1" x14ac:dyDescent="0.3">
      <c r="A390" s="174"/>
      <c r="B390" s="175"/>
      <c r="C390" s="175"/>
      <c r="D390" s="202">
        <v>3</v>
      </c>
      <c r="E390" s="203" t="s">
        <v>52</v>
      </c>
      <c r="F390" s="204"/>
      <c r="G390" s="205"/>
      <c r="H390" s="185"/>
      <c r="I390" s="186"/>
      <c r="J390" s="206">
        <f ca="1">IFERROR(__xludf.DUMMYFUNCTION("IMPORTRANGE(""https://docs.google.com/spreadsheets/d/1yGy89TWty5kAjAO5OL1fLLQ_DL8fVJHFf2LvMm8qymA/edit?usp=sharing"",""รวมเหนือ!J379"")+IMPORTRANGE(""https://docs.google.com/spreadsheets/d/1bWGR5Y7oTgtZIep2hLdTHG-chM0w9aHBSSpJHwm6lak/edit?usp=sharing"","""&amp;"รวมตะวันออกเฉียงเหนือ!J379"")+IMPORTRANGE(""https://docs.google.com/spreadsheets/d/1dCxWUCc_SKNp-qd8qsaa5pPX_-BuQqWJ_-8FnsS4Ki0/edit?usp=sharing"",""รวมกลาง!J379"")+IMPORTRANGE(""https://docs.google.com/spreadsheets/d/1uOzBKYgpuhMUe0xXQLXSct3xZ80hakAMJHdG"&amp;"Jh9616E/edit?usp=sharing"",""รวมใต้!J379"")"),1)</f>
        <v>1</v>
      </c>
      <c r="K390" s="163"/>
      <c r="L390" s="180"/>
      <c r="M390" s="180"/>
      <c r="N390" s="180"/>
      <c r="O390" s="180"/>
      <c r="P390" s="180"/>
    </row>
    <row r="391" spans="1:16" ht="21.75" customHeight="1" x14ac:dyDescent="0.3">
      <c r="A391" s="366"/>
      <c r="B391" s="367">
        <v>2</v>
      </c>
      <c r="C391" s="368" t="s">
        <v>143</v>
      </c>
      <c r="D391" s="368"/>
      <c r="E391" s="385"/>
      <c r="F391" s="385"/>
      <c r="G391" s="386"/>
      <c r="H391" s="370" t="s">
        <v>121</v>
      </c>
      <c r="I391" s="371">
        <f ca="1">IFERROR(__xludf.DUMMYFUNCTION("IMPORTRANGE(""https://docs.google.com/spreadsheets/d/1yGy89TWty5kAjAO5OL1fLLQ_DL8fVJHFf2LvMm8qymA/edit?usp=sharing"",""รวมเหนือ!I380"")+IMPORTRANGE(""https://docs.google.com/spreadsheets/d/1bWGR5Y7oTgtZIep2hLdTHG-chM0w9aHBSSpJHwm6lak/edit?usp=sharing"","""&amp;"รวมตะวันออกเฉียงเหนือ!I380"")+IMPORTRANGE(""https://docs.google.com/spreadsheets/d/1dCxWUCc_SKNp-qd8qsaa5pPX_-BuQqWJ_-8FnsS4Ki0/edit?usp=sharing"",""รวมกลาง!I380"")+IMPORTRANGE(""https://docs.google.com/spreadsheets/d/1uOzBKYgpuhMUe0xXQLXSct3xZ80hakAMJHdG"&amp;"Jh9616E/edit?usp=sharing"",""รวมใต้!I380"")"),45000)</f>
        <v>45000</v>
      </c>
      <c r="J391" s="371">
        <f ca="1">IFERROR(__xludf.DUMMYFUNCTION("IMPORTRANGE(""https://docs.google.com/spreadsheets/d/1yGy89TWty5kAjAO5OL1fLLQ_DL8fVJHFf2LvMm8qymA/edit?usp=sharing"",""รวมเหนือ!J380"")+IMPORTRANGE(""https://docs.google.com/spreadsheets/d/1bWGR5Y7oTgtZIep2hLdTHG-chM0w9aHBSSpJHwm6lak/edit?usp=sharing"","""&amp;"รวมตะวันออกเฉียงเหนือ!J380"")+IMPORTRANGE(""https://docs.google.com/spreadsheets/d/1dCxWUCc_SKNp-qd8qsaa5pPX_-BuQqWJ_-8FnsS4Ki0/edit?usp=sharing"",""รวมกลาง!J380"")+IMPORTRANGE(""https://docs.google.com/spreadsheets/d/1uOzBKYgpuhMUe0xXQLXSct3xZ80hakAMJHdG"&amp;"Jh9616E/edit?usp=sharing"",""รวมใต้!J380"")"),4753.25)</f>
        <v>4753.25</v>
      </c>
      <c r="K391" s="372">
        <f t="shared" ref="K391:K392" ca="1" si="120">IF(I391&gt;0,J391*100/I391,0)</f>
        <v>10.562777777777777</v>
      </c>
      <c r="L391" s="373">
        <f ca="1">L393+L394</f>
        <v>46981000</v>
      </c>
      <c r="M391" s="373"/>
      <c r="N391" s="373">
        <f ca="1">N393+N394</f>
        <v>11292936.94999999</v>
      </c>
      <c r="O391" s="373">
        <f ca="1">+IF(L391&gt;0,N391*100/L391,0)</f>
        <v>24.037242608714141</v>
      </c>
      <c r="P391" s="373"/>
    </row>
    <row r="392" spans="1:16" ht="21.75" customHeight="1" x14ac:dyDescent="0.3">
      <c r="A392" s="366"/>
      <c r="B392" s="367"/>
      <c r="C392" s="368"/>
      <c r="D392" s="387"/>
      <c r="E392" s="388"/>
      <c r="F392" s="388"/>
      <c r="G392" s="389"/>
      <c r="H392" s="370" t="s">
        <v>37</v>
      </c>
      <c r="I392" s="371">
        <f ca="1">IFERROR(__xludf.DUMMYFUNCTION("IMPORTRANGE(""https://docs.google.com/spreadsheets/d/1yGy89TWty5kAjAO5OL1fLLQ_DL8fVJHFf2LvMm8qymA/edit?usp=sharing"",""รวมเหนือ!I381"")+IMPORTRANGE(""https://docs.google.com/spreadsheets/d/1bWGR5Y7oTgtZIep2hLdTHG-chM0w9aHBSSpJHwm6lak/edit?usp=sharing"","""&amp;"รวมตะวันออกเฉียงเหนือ!I381"")+IMPORTRANGE(""https://docs.google.com/spreadsheets/d/1dCxWUCc_SKNp-qd8qsaa5pPX_-BuQqWJ_-8FnsS4Ki0/edit?usp=sharing"",""รวมกลาง!I381"")+IMPORTRANGE(""https://docs.google.com/spreadsheets/d/1uOzBKYgpuhMUe0xXQLXSct3xZ80hakAMJHdG"&amp;"Jh9616E/edit?usp=sharing"",""รวมใต้!I381"")"),4500)</f>
        <v>4500</v>
      </c>
      <c r="J392" s="371">
        <f ca="1">IFERROR(__xludf.DUMMYFUNCTION("IMPORTRANGE(""https://docs.google.com/spreadsheets/d/1yGy89TWty5kAjAO5OL1fLLQ_DL8fVJHFf2LvMm8qymA/edit?usp=sharing"",""รวมเหนือ!J381"")+IMPORTRANGE(""https://docs.google.com/spreadsheets/d/1bWGR5Y7oTgtZIep2hLdTHG-chM0w9aHBSSpJHwm6lak/edit?usp=sharing"","""&amp;"รวมตะวันออกเฉียงเหนือ!J381"")+IMPORTRANGE(""https://docs.google.com/spreadsheets/d/1dCxWUCc_SKNp-qd8qsaa5pPX_-BuQqWJ_-8FnsS4Ki0/edit?usp=sharing"",""รวมกลาง!J381"")+IMPORTRANGE(""https://docs.google.com/spreadsheets/d/1uOzBKYgpuhMUe0xXQLXSct3xZ80hakAMJHdG"&amp;"Jh9616E/edit?usp=sharing"",""รวมใต้!J381"")"),4441)</f>
        <v>4441</v>
      </c>
      <c r="K392" s="372">
        <f t="shared" ca="1" si="120"/>
        <v>98.688888888888883</v>
      </c>
      <c r="L392" s="373"/>
      <c r="M392" s="373"/>
      <c r="N392" s="373"/>
      <c r="O392" s="373"/>
      <c r="P392" s="373"/>
    </row>
    <row r="393" spans="1:16" ht="21.75" customHeight="1" x14ac:dyDescent="0.3">
      <c r="A393" s="158"/>
      <c r="B393" s="159"/>
      <c r="C393" s="159" t="s">
        <v>16</v>
      </c>
      <c r="D393" s="274" t="s">
        <v>75</v>
      </c>
      <c r="E393" s="167"/>
      <c r="F393" s="167"/>
      <c r="G393" s="374" t="s">
        <v>38</v>
      </c>
      <c r="H393" s="168" t="s">
        <v>12</v>
      </c>
      <c r="I393" s="162" t="s">
        <v>39</v>
      </c>
      <c r="J393" s="162"/>
      <c r="K393" s="163"/>
      <c r="L393" s="275">
        <f ca="1">IFERROR(__xludf.DUMMYFUNCTION("IMPORTRANGE(""https://docs.google.com/spreadsheets/d/1muirlRDkqiswvy_NRZ3Yh955hx-PF6_HhssUYiSJj8o/edit?usp=sharing"",""กองทุนส่วนกลาง!K10"")"),1073960)</f>
        <v>1073960</v>
      </c>
      <c r="M393" s="275"/>
      <c r="N393" s="275">
        <f ca="1">IFERROR(__xludf.DUMMYFUNCTION("IMPORTRANGE(""https://docs.google.com/spreadsheets/d/1-fhVXPMm30suWK0-eslVgeT9cTVfCsDeUsq7Bk5UZE8/edit?usp=sharing"",""ทั้งประเทศ!M277"")"),257735.87)</f>
        <v>257735.87</v>
      </c>
      <c r="O393" s="276">
        <f t="shared" ref="O393:O396" ca="1" si="121">+IF(L393&gt;0,N393*100/L393,0)</f>
        <v>23.998647063205333</v>
      </c>
      <c r="P393" s="276"/>
    </row>
    <row r="394" spans="1:16" ht="21.75" customHeight="1" x14ac:dyDescent="0.3">
      <c r="A394" s="158"/>
      <c r="B394" s="159"/>
      <c r="C394" s="159"/>
      <c r="D394" s="166"/>
      <c r="E394" s="167"/>
      <c r="F394" s="167" t="s">
        <v>39</v>
      </c>
      <c r="G394" s="374" t="s">
        <v>40</v>
      </c>
      <c r="H394" s="168" t="s">
        <v>12</v>
      </c>
      <c r="I394" s="162"/>
      <c r="J394" s="162"/>
      <c r="K394" s="163"/>
      <c r="L394" s="276">
        <f ca="1">L395+L396</f>
        <v>45907040</v>
      </c>
      <c r="M394" s="276"/>
      <c r="N394" s="276">
        <f ca="1">N395+N396</f>
        <v>11035201.079999991</v>
      </c>
      <c r="O394" s="276">
        <f t="shared" ca="1" si="121"/>
        <v>24.038145521906859</v>
      </c>
      <c r="P394" s="276"/>
    </row>
    <row r="395" spans="1:16" ht="21.75" customHeight="1" x14ac:dyDescent="0.4">
      <c r="A395" s="158"/>
      <c r="B395" s="159"/>
      <c r="C395" s="159"/>
      <c r="D395" s="166"/>
      <c r="E395" s="167"/>
      <c r="F395" s="167"/>
      <c r="G395" s="34" t="s">
        <v>21</v>
      </c>
      <c r="H395" s="168" t="s">
        <v>12</v>
      </c>
      <c r="I395" s="162"/>
      <c r="J395" s="162"/>
      <c r="K395" s="163"/>
      <c r="L395" s="165">
        <f ca="1">IFERROR(__xludf.DUMMYFUNCTION("IMPORTRANGE(""https://docs.google.com/spreadsheets/d/1yGy89TWty5kAjAO5OL1fLLQ_DL8fVJHFf2LvMm8qymA/edit?usp=sharing"",""รวมเหนือ!L384"")+IMPORTRANGE(""https://docs.google.com/spreadsheets/d/1bWGR5Y7oTgtZIep2hLdTHG-chM0w9aHBSSpJHwm6lak/edit?usp=sharing"","""&amp;"รวมตะวันออกเฉียงเหนือ!L384"")+IMPORTRANGE(""https://docs.google.com/spreadsheets/d/1dCxWUCc_SKNp-qd8qsaa5pPX_-BuQqWJ_-8FnsS4Ki0/edit?usp=sharing"",""รวมกลาง!L384"")+IMPORTRANGE(""https://docs.google.com/spreadsheets/d/1uOzBKYgpuhMUe0xXQLXSct3xZ80hakAMJHdG"&amp;"Jh9616E/edit?usp=sharing"",""รวมใต้!L384"")"),0)</f>
        <v>0</v>
      </c>
      <c r="M395" s="165"/>
      <c r="N395" s="165">
        <f ca="1">IFERROR(__xludf.DUMMYFUNCTION("IMPORTRANGE(""https://docs.google.com/spreadsheets/d/1yGy89TWty5kAjAO5OL1fLLQ_DL8fVJHFf2LvMm8qymA/edit?usp=sharing"",""รวมเหนือ!N384"")+IMPORTRANGE(""https://docs.google.com/spreadsheets/d/1bWGR5Y7oTgtZIep2hLdTHG-chM0w9aHBSSpJHwm6lak/edit?usp=sharing"","""&amp;"รวมตะวันออกเฉียงเหนือ!N384"")+IMPORTRANGE(""https://docs.google.com/spreadsheets/d/1dCxWUCc_SKNp-qd8qsaa5pPX_-BuQqWJ_-8FnsS4Ki0/edit?usp=sharing"",""รวมกลาง!N384"")+IMPORTRANGE(""https://docs.google.com/spreadsheets/d/1uOzBKYgpuhMUe0xXQLXSct3xZ80hakAMJHdG"&amp;"Jh9616E/edit?usp=sharing"",""รวมใต้!N384"")"),0)</f>
        <v>0</v>
      </c>
      <c r="O395" s="165">
        <f t="shared" ca="1" si="121"/>
        <v>0</v>
      </c>
      <c r="P395" s="165"/>
    </row>
    <row r="396" spans="1:16" ht="21.75" customHeight="1" x14ac:dyDescent="0.4">
      <c r="A396" s="158"/>
      <c r="B396" s="159"/>
      <c r="C396" s="159"/>
      <c r="D396" s="166"/>
      <c r="E396" s="167"/>
      <c r="F396" s="167"/>
      <c r="G396" s="34" t="s">
        <v>22</v>
      </c>
      <c r="H396" s="168" t="s">
        <v>12</v>
      </c>
      <c r="I396" s="162"/>
      <c r="J396" s="162"/>
      <c r="K396" s="163"/>
      <c r="L396" s="165">
        <f ca="1">IFERROR(__xludf.DUMMYFUNCTION("IMPORTRANGE(""https://docs.google.com/spreadsheets/d/1yGy89TWty5kAjAO5OL1fLLQ_DL8fVJHFf2LvMm8qymA/edit?usp=sharing"",""รวมเหนือ!L385"")+IMPORTRANGE(""https://docs.google.com/spreadsheets/d/1bWGR5Y7oTgtZIep2hLdTHG-chM0w9aHBSSpJHwm6lak/edit?usp=sharing"","""&amp;"รวมตะวันออกเฉียงเหนือ!L385"")+IMPORTRANGE(""https://docs.google.com/spreadsheets/d/1dCxWUCc_SKNp-qd8qsaa5pPX_-BuQqWJ_-8FnsS4Ki0/edit?usp=sharing"",""รวมกลาง!L385"")+IMPORTRANGE(""https://docs.google.com/spreadsheets/d/1uOzBKYgpuhMUe0xXQLXSct3xZ80hakAMJHdG"&amp;"Jh9616E/edit?usp=sharing"",""รวมใต้!L385"")"),45907040)</f>
        <v>45907040</v>
      </c>
      <c r="M396" s="165"/>
      <c r="N396" s="164">
        <f ca="1">N397+N398+N399+N400</f>
        <v>11035201.079999991</v>
      </c>
      <c r="O396" s="165">
        <f t="shared" ca="1" si="121"/>
        <v>24.038145521906859</v>
      </c>
      <c r="P396" s="165"/>
    </row>
    <row r="397" spans="1:16" ht="21.75" customHeight="1" x14ac:dyDescent="0.3">
      <c r="A397" s="375"/>
      <c r="B397" s="376"/>
      <c r="C397" s="159"/>
      <c r="D397" s="377"/>
      <c r="E397" s="167"/>
      <c r="F397" s="167"/>
      <c r="G397" s="378" t="s">
        <v>129</v>
      </c>
      <c r="H397" s="168" t="s">
        <v>12</v>
      </c>
      <c r="I397" s="186"/>
      <c r="J397" s="186"/>
      <c r="K397" s="221"/>
      <c r="L397" s="165"/>
      <c r="M397" s="165"/>
      <c r="N397" s="164">
        <f ca="1">IFERROR(__xludf.DUMMYFUNCTION("IMPORTRANGE(""https://docs.google.com/spreadsheets/d/1yGy89TWty5kAjAO5OL1fLLQ_DL8fVJHFf2LvMm8qymA/edit?usp=sharing"",""รวมเหนือ!N386"")+IMPORTRANGE(""https://docs.google.com/spreadsheets/d/1bWGR5Y7oTgtZIep2hLdTHG-chM0w9aHBSSpJHwm6lak/edit?usp=sharing"","""&amp;"รวมตะวันออกเฉียงเหนือ!N386"")+IMPORTRANGE(""https://docs.google.com/spreadsheets/d/1dCxWUCc_SKNp-qd8qsaa5pPX_-BuQqWJ_-8FnsS4Ki0/edit?usp=sharing"",""รวมกลาง!N386"")+IMPORTRANGE(""https://docs.google.com/spreadsheets/d/1uOzBKYgpuhMUe0xXQLXSct3xZ80hakAMJHdG"&amp;"Jh9616E/edit?usp=sharing"",""รวมใต้!N386"")"),6786060.83)</f>
        <v>6786060.8300000001</v>
      </c>
      <c r="O397" s="165"/>
      <c r="P397" s="165"/>
    </row>
    <row r="398" spans="1:16" ht="21.75" customHeight="1" x14ac:dyDescent="0.3">
      <c r="A398" s="375"/>
      <c r="B398" s="376"/>
      <c r="C398" s="159"/>
      <c r="D398" s="377"/>
      <c r="E398" s="167"/>
      <c r="F398" s="167"/>
      <c r="G398" s="378" t="s">
        <v>130</v>
      </c>
      <c r="H398" s="168" t="s">
        <v>12</v>
      </c>
      <c r="I398" s="186"/>
      <c r="J398" s="186"/>
      <c r="K398" s="221"/>
      <c r="L398" s="165"/>
      <c r="M398" s="165"/>
      <c r="N398" s="164">
        <f ca="1">IFERROR(__xludf.DUMMYFUNCTION("IMPORTRANGE(""https://docs.google.com/spreadsheets/d/1yGy89TWty5kAjAO5OL1fLLQ_DL8fVJHFf2LvMm8qymA/edit?usp=sharing"",""รวมเหนือ!N387"")+IMPORTRANGE(""https://docs.google.com/spreadsheets/d/1bWGR5Y7oTgtZIep2hLdTHG-chM0w9aHBSSpJHwm6lak/edit?usp=sharing"","""&amp;"รวมตะวันออกเฉียงเหนือ!N387"")+IMPORTRANGE(""https://docs.google.com/spreadsheets/d/1dCxWUCc_SKNp-qd8qsaa5pPX_-BuQqWJ_-8FnsS4Ki0/edit?usp=sharing"",""รวมกลาง!N387"")+IMPORTRANGE(""https://docs.google.com/spreadsheets/d/1uOzBKYgpuhMUe0xXQLXSct3xZ80hakAMJHdG"&amp;"Jh9616E/edit?usp=sharing"",""รวมใต้!N387"")"),1416730)</f>
        <v>1416730</v>
      </c>
      <c r="O398" s="165"/>
      <c r="P398" s="165"/>
    </row>
    <row r="399" spans="1:16" ht="21.75" customHeight="1" x14ac:dyDescent="0.3">
      <c r="A399" s="375"/>
      <c r="B399" s="376"/>
      <c r="C399" s="159"/>
      <c r="D399" s="377"/>
      <c r="E399" s="167"/>
      <c r="F399" s="167"/>
      <c r="G399" s="378" t="s">
        <v>131</v>
      </c>
      <c r="H399" s="168" t="s">
        <v>12</v>
      </c>
      <c r="I399" s="186"/>
      <c r="J399" s="186"/>
      <c r="K399" s="221"/>
      <c r="L399" s="165"/>
      <c r="M399" s="165"/>
      <c r="N399" s="164">
        <f ca="1">IFERROR(__xludf.DUMMYFUNCTION("IMPORTRANGE(""https://docs.google.com/spreadsheets/d/1yGy89TWty5kAjAO5OL1fLLQ_DL8fVJHFf2LvMm8qymA/edit?usp=sharing"",""รวมเหนือ!N388"")+IMPORTRANGE(""https://docs.google.com/spreadsheets/d/1bWGR5Y7oTgtZIep2hLdTHG-chM0w9aHBSSpJHwm6lak/edit?usp=sharing"","""&amp;"รวมตะวันออกเฉียงเหนือ!N388"")+IMPORTRANGE(""https://docs.google.com/spreadsheets/d/1dCxWUCc_SKNp-qd8qsaa5pPX_-BuQqWJ_-8FnsS4Ki0/edit?usp=sharing"",""รวมกลาง!N388"")+IMPORTRANGE(""https://docs.google.com/spreadsheets/d/1uOzBKYgpuhMUe0xXQLXSct3xZ80hakAMJHdG"&amp;"Jh9616E/edit?usp=sharing"",""รวมใต้!N388"")"),1995763.84999999)</f>
        <v>1995763.8499999901</v>
      </c>
      <c r="O399" s="165"/>
      <c r="P399" s="165"/>
    </row>
    <row r="400" spans="1:16" ht="21.75" customHeight="1" x14ac:dyDescent="0.3">
      <c r="A400" s="375"/>
      <c r="B400" s="376"/>
      <c r="C400" s="159"/>
      <c r="D400" s="377"/>
      <c r="E400" s="167"/>
      <c r="F400" s="167"/>
      <c r="G400" s="378" t="s">
        <v>132</v>
      </c>
      <c r="H400" s="168" t="s">
        <v>12</v>
      </c>
      <c r="I400" s="186"/>
      <c r="J400" s="186"/>
      <c r="K400" s="221"/>
      <c r="L400" s="165"/>
      <c r="M400" s="165"/>
      <c r="N400" s="164">
        <f ca="1">IFERROR(__xludf.DUMMYFUNCTION("IMPORTRANGE(""https://docs.google.com/spreadsheets/d/1yGy89TWty5kAjAO5OL1fLLQ_DL8fVJHFf2LvMm8qymA/edit?usp=sharing"",""รวมเหนือ!N389"")+IMPORTRANGE(""https://docs.google.com/spreadsheets/d/1bWGR5Y7oTgtZIep2hLdTHG-chM0w9aHBSSpJHwm6lak/edit?usp=sharing"","""&amp;"รวมตะวันออกเฉียงเหนือ!N389"")+IMPORTRANGE(""https://docs.google.com/spreadsheets/d/1dCxWUCc_SKNp-qd8qsaa5pPX_-BuQqWJ_-8FnsS4Ki0/edit?usp=sharing"",""รวมกลาง!N389"")+IMPORTRANGE(""https://docs.google.com/spreadsheets/d/1uOzBKYgpuhMUe0xXQLXSct3xZ80hakAMJHdG"&amp;"Jh9616E/edit?usp=sharing"",""รวมใต้!N389"")"),836646.4)</f>
        <v>836646.40000000002</v>
      </c>
      <c r="O400" s="165"/>
      <c r="P400" s="165"/>
    </row>
    <row r="401" spans="1:16" ht="21.75" customHeight="1" x14ac:dyDescent="0.3">
      <c r="A401" s="174"/>
      <c r="B401" s="175"/>
      <c r="C401" s="159" t="s">
        <v>16</v>
      </c>
      <c r="D401" s="176" t="s">
        <v>41</v>
      </c>
      <c r="E401" s="177"/>
      <c r="F401" s="177"/>
      <c r="G401" s="178"/>
      <c r="H401" s="179"/>
      <c r="I401" s="162"/>
      <c r="J401" s="162"/>
      <c r="K401" s="163"/>
      <c r="L401" s="180"/>
      <c r="M401" s="180"/>
      <c r="N401" s="180"/>
      <c r="O401" s="180"/>
      <c r="P401" s="180"/>
    </row>
    <row r="402" spans="1:16" ht="21.75" customHeight="1" x14ac:dyDescent="0.3">
      <c r="A402" s="174"/>
      <c r="B402" s="175"/>
      <c r="C402" s="175"/>
      <c r="D402" s="181">
        <v>1</v>
      </c>
      <c r="E402" s="182" t="s">
        <v>42</v>
      </c>
      <c r="F402" s="183"/>
      <c r="G402" s="184"/>
      <c r="H402" s="185"/>
      <c r="I402" s="186"/>
      <c r="J402" s="186">
        <f ca="1">IFERROR(__xludf.DUMMYFUNCTION("IMPORTRANGE(""https://docs.google.com/spreadsheets/d/1yGy89TWty5kAjAO5OL1fLLQ_DL8fVJHFf2LvMm8qymA/edit?usp=sharing"",""รวมเหนือ!J391"")+IMPORTRANGE(""https://docs.google.com/spreadsheets/d/1bWGR5Y7oTgtZIep2hLdTHG-chM0w9aHBSSpJHwm6lak/edit?usp=sharing"","""&amp;"รวมตะวันออกเฉียงเหนือ!J391"")+IMPORTRANGE(""https://docs.google.com/spreadsheets/d/1dCxWUCc_SKNp-qd8qsaa5pPX_-BuQqWJ_-8FnsS4Ki0/edit?usp=sharing"",""รวมกลาง!J391"")+IMPORTRANGE(""https://docs.google.com/spreadsheets/d/1uOzBKYgpuhMUe0xXQLXSct3xZ80hakAMJHdG"&amp;"Jh9616E/edit?usp=sharing"",""รวมใต้!J391"")"),0)</f>
        <v>0</v>
      </c>
      <c r="K402" s="163"/>
      <c r="L402" s="180"/>
      <c r="M402" s="180"/>
      <c r="N402" s="180"/>
      <c r="O402" s="180"/>
      <c r="P402" s="180"/>
    </row>
    <row r="403" spans="1:16" ht="21.75" customHeight="1" x14ac:dyDescent="0.3">
      <c r="A403" s="174"/>
      <c r="B403" s="175"/>
      <c r="C403" s="175"/>
      <c r="D403" s="188">
        <v>2</v>
      </c>
      <c r="E403" s="189" t="s">
        <v>43</v>
      </c>
      <c r="F403" s="190"/>
      <c r="G403" s="191"/>
      <c r="H403" s="185"/>
      <c r="I403" s="186"/>
      <c r="J403" s="187">
        <f ca="1">IFERROR(__xludf.DUMMYFUNCTION("IMPORTRANGE(""https://docs.google.com/spreadsheets/d/1yGy89TWty5kAjAO5OL1fLLQ_DL8fVJHFf2LvMm8qymA/edit?usp=sharing"",""รวมเหนือ!J392"")+IMPORTRANGE(""https://docs.google.com/spreadsheets/d/1bWGR5Y7oTgtZIep2hLdTHG-chM0w9aHBSSpJHwm6lak/edit?usp=sharing"","""&amp;"รวมตะวันออกเฉียงเหนือ!J392"")+IMPORTRANGE(""https://docs.google.com/spreadsheets/d/1dCxWUCc_SKNp-qd8qsaa5pPX_-BuQqWJ_-8FnsS4Ki0/edit?usp=sharing"",""รวมกลาง!J392"")+IMPORTRANGE(""https://docs.google.com/spreadsheets/d/1uOzBKYgpuhMUe0xXQLXSct3xZ80hakAMJHdG"&amp;"Jh9616E/edit?usp=sharing"",""รวมใต้!J392"")"),68)</f>
        <v>68</v>
      </c>
      <c r="K403" s="163"/>
      <c r="L403" s="180" t="s">
        <v>39</v>
      </c>
      <c r="M403" s="180"/>
      <c r="N403" s="180" t="s">
        <v>39</v>
      </c>
      <c r="O403" s="180"/>
      <c r="P403" s="180"/>
    </row>
    <row r="404" spans="1:16" ht="21.75" customHeight="1" x14ac:dyDescent="0.3">
      <c r="A404" s="174"/>
      <c r="B404" s="175"/>
      <c r="C404" s="175"/>
      <c r="D404" s="192"/>
      <c r="E404" s="193" t="s">
        <v>44</v>
      </c>
      <c r="F404" s="194"/>
      <c r="G404" s="195"/>
      <c r="H404" s="185"/>
      <c r="I404" s="186"/>
      <c r="J404" s="187">
        <f ca="1">IFERROR(__xludf.DUMMYFUNCTION("IMPORTRANGE(""https://docs.google.com/spreadsheets/d/1yGy89TWty5kAjAO5OL1fLLQ_DL8fVJHFf2LvMm8qymA/edit?usp=sharing"",""รวมเหนือ!J393"")+IMPORTRANGE(""https://docs.google.com/spreadsheets/d/1bWGR5Y7oTgtZIep2hLdTHG-chM0w9aHBSSpJHwm6lak/edit?usp=sharing"","""&amp;"รวมตะวันออกเฉียงเหนือ!J393"")+IMPORTRANGE(""https://docs.google.com/spreadsheets/d/1dCxWUCc_SKNp-qd8qsaa5pPX_-BuQqWJ_-8FnsS4Ki0/edit?usp=sharing"",""รวมกลาง!J393"")+IMPORTRANGE(""https://docs.google.com/spreadsheets/d/1uOzBKYgpuhMUe0xXQLXSct3xZ80hakAMJHdG"&amp;"Jh9616E/edit?usp=sharing"",""รวมใต้!J393"")"),65)</f>
        <v>65</v>
      </c>
      <c r="K404" s="163"/>
      <c r="L404" s="180"/>
      <c r="M404" s="180"/>
      <c r="N404" s="180"/>
      <c r="O404" s="180"/>
      <c r="P404" s="180"/>
    </row>
    <row r="405" spans="1:16" ht="21.75" customHeight="1" x14ac:dyDescent="0.3">
      <c r="A405" s="174"/>
      <c r="B405" s="175"/>
      <c r="C405" s="175"/>
      <c r="D405" s="192"/>
      <c r="E405" s="193" t="s">
        <v>45</v>
      </c>
      <c r="F405" s="194"/>
      <c r="G405" s="195"/>
      <c r="H405" s="185"/>
      <c r="I405" s="186"/>
      <c r="J405" s="186">
        <f ca="1">IFERROR(__xludf.DUMMYFUNCTION("IMPORTRANGE(""https://docs.google.com/spreadsheets/d/1yGy89TWty5kAjAO5OL1fLLQ_DL8fVJHFf2LvMm8qymA/edit?usp=sharing"",""รวมเหนือ!J394"")+IMPORTRANGE(""https://docs.google.com/spreadsheets/d/1bWGR5Y7oTgtZIep2hLdTHG-chM0w9aHBSSpJHwm6lak/edit?usp=sharing"","""&amp;"รวมตะวันออกเฉียงเหนือ!J394"")+IMPORTRANGE(""https://docs.google.com/spreadsheets/d/1dCxWUCc_SKNp-qd8qsaa5pPX_-BuQqWJ_-8FnsS4Ki0/edit?usp=sharing"",""รวมกลาง!J394"")+IMPORTRANGE(""https://docs.google.com/spreadsheets/d/1uOzBKYgpuhMUe0xXQLXSct3xZ80hakAMJHdG"&amp;"Jh9616E/edit?usp=sharing"",""รวมใต้!J394"")"),64)</f>
        <v>64</v>
      </c>
      <c r="K405" s="163"/>
      <c r="L405" s="180"/>
      <c r="M405" s="180"/>
      <c r="N405" s="180"/>
      <c r="O405" s="180"/>
      <c r="P405" s="180"/>
    </row>
    <row r="406" spans="1:16" ht="21.75" customHeight="1" x14ac:dyDescent="0.3">
      <c r="A406" s="174"/>
      <c r="B406" s="175"/>
      <c r="C406" s="175"/>
      <c r="D406" s="192"/>
      <c r="E406" s="196"/>
      <c r="F406" s="193" t="s">
        <v>144</v>
      </c>
      <c r="G406" s="194"/>
      <c r="H406" s="185"/>
      <c r="I406" s="186"/>
      <c r="J406" s="186"/>
      <c r="K406" s="163"/>
      <c r="L406" s="180"/>
      <c r="M406" s="180"/>
      <c r="N406" s="180"/>
      <c r="O406" s="180"/>
      <c r="P406" s="180"/>
    </row>
    <row r="407" spans="1:16" ht="21.75" customHeight="1" x14ac:dyDescent="0.3">
      <c r="A407" s="174"/>
      <c r="B407" s="175"/>
      <c r="C407" s="175"/>
      <c r="D407" s="192"/>
      <c r="E407" s="196"/>
      <c r="F407" s="194"/>
      <c r="G407" s="223" t="s">
        <v>67</v>
      </c>
      <c r="H407" s="185" t="s">
        <v>37</v>
      </c>
      <c r="I407" s="186">
        <f ca="1">IFERROR(__xludf.DUMMYFUNCTION("IMPORTRANGE(""https://docs.google.com/spreadsheets/d/1yGy89TWty5kAjAO5OL1fLLQ_DL8fVJHFf2LvMm8qymA/edit?usp=sharing"",""รวมเหนือ!I396"")+IMPORTRANGE(""https://docs.google.com/spreadsheets/d/1bWGR5Y7oTgtZIep2hLdTHG-chM0w9aHBSSpJHwm6lak/edit?usp=sharing"","""&amp;"รวมตะวันออกเฉียงเหนือ!I396"")+IMPORTRANGE(""https://docs.google.com/spreadsheets/d/1dCxWUCc_SKNp-qd8qsaa5pPX_-BuQqWJ_-8FnsS4Ki0/edit?usp=sharing"",""รวมกลาง!I396"")+IMPORTRANGE(""https://docs.google.com/spreadsheets/d/1uOzBKYgpuhMUe0xXQLXSct3xZ80hakAMJHdG"&amp;"Jh9616E/edit?usp=sharing"",""รวมใต้!I396"")"),4500)</f>
        <v>4500</v>
      </c>
      <c r="J407" s="186">
        <f ca="1">IFERROR(__xludf.DUMMYFUNCTION("IMPORTRANGE(""https://docs.google.com/spreadsheets/d/1yGy89TWty5kAjAO5OL1fLLQ_DL8fVJHFf2LvMm8qymA/edit?usp=sharing"",""รวมเหนือ!J396"")+IMPORTRANGE(""https://docs.google.com/spreadsheets/d/1bWGR5Y7oTgtZIep2hLdTHG-chM0w9aHBSSpJHwm6lak/edit?usp=sharing"","""&amp;"รวมตะวันออกเฉียงเหนือ!J396"")+IMPORTRANGE(""https://docs.google.com/spreadsheets/d/1dCxWUCc_SKNp-qd8qsaa5pPX_-BuQqWJ_-8FnsS4Ki0/edit?usp=sharing"",""รวมกลาง!J396"")+IMPORTRANGE(""https://docs.google.com/spreadsheets/d/1uOzBKYgpuhMUe0xXQLXSct3xZ80hakAMJHdG"&amp;"Jh9616E/edit?usp=sharing"",""รวมใต้!J396"")"),4441)</f>
        <v>4441</v>
      </c>
      <c r="K407" s="163">
        <f t="shared" ref="K407:K409" ca="1" si="122">IF(I407&gt;0,J407*100/I407,0)</f>
        <v>98.688888888888883</v>
      </c>
      <c r="L407" s="180"/>
      <c r="M407" s="180"/>
      <c r="N407" s="180"/>
      <c r="O407" s="180"/>
      <c r="P407" s="180"/>
    </row>
    <row r="408" spans="1:16" ht="21.75" customHeight="1" x14ac:dyDescent="0.3">
      <c r="A408" s="174"/>
      <c r="B408" s="175"/>
      <c r="C408" s="175"/>
      <c r="D408" s="192"/>
      <c r="E408" s="196"/>
      <c r="F408" s="194"/>
      <c r="G408" s="195" t="s">
        <v>50</v>
      </c>
      <c r="H408" s="185" t="s">
        <v>121</v>
      </c>
      <c r="I408" s="186">
        <f ca="1">IFERROR(__xludf.DUMMYFUNCTION("IMPORTRANGE(""https://docs.google.com/spreadsheets/d/1yGy89TWty5kAjAO5OL1fLLQ_DL8fVJHFf2LvMm8qymA/edit?usp=sharing"",""รวมเหนือ!I397"")+IMPORTRANGE(""https://docs.google.com/spreadsheets/d/1bWGR5Y7oTgtZIep2hLdTHG-chM0w9aHBSSpJHwm6lak/edit?usp=sharing"","""&amp;"รวมตะวันออกเฉียงเหนือ!I397"")+IMPORTRANGE(""https://docs.google.com/spreadsheets/d/1dCxWUCc_SKNp-qd8qsaa5pPX_-BuQqWJ_-8FnsS4Ki0/edit?usp=sharing"",""รวมกลาง!I397"")+IMPORTRANGE(""https://docs.google.com/spreadsheets/d/1uOzBKYgpuhMUe0xXQLXSct3xZ80hakAMJHdG"&amp;"Jh9616E/edit?usp=sharing"",""รวมใต้!I397"")"),45000)</f>
        <v>45000</v>
      </c>
      <c r="J408" s="186">
        <f ca="1">IFERROR(__xludf.DUMMYFUNCTION("IMPORTRANGE(""https://docs.google.com/spreadsheets/d/1yGy89TWty5kAjAO5OL1fLLQ_DL8fVJHFf2LvMm8qymA/edit?usp=sharing"",""รวมเหนือ!J397"")+IMPORTRANGE(""https://docs.google.com/spreadsheets/d/1bWGR5Y7oTgtZIep2hLdTHG-chM0w9aHBSSpJHwm6lak/edit?usp=sharing"","""&amp;"รวมตะวันออกเฉียงเหนือ!J397"")+IMPORTRANGE(""https://docs.google.com/spreadsheets/d/1dCxWUCc_SKNp-qd8qsaa5pPX_-BuQqWJ_-8FnsS4Ki0/edit?usp=sharing"",""รวมกลาง!J397"")+IMPORTRANGE(""https://docs.google.com/spreadsheets/d/1uOzBKYgpuhMUe0xXQLXSct3xZ80hakAMJHdG"&amp;"Jh9616E/edit?usp=sharing"",""รวมใต้!J397"")"),4753.25)</f>
        <v>4753.25</v>
      </c>
      <c r="K408" s="163">
        <f t="shared" ca="1" si="122"/>
        <v>10.562777777777777</v>
      </c>
      <c r="L408" s="180"/>
      <c r="M408" s="180"/>
      <c r="N408" s="180"/>
      <c r="O408" s="180"/>
      <c r="P408" s="180"/>
    </row>
    <row r="409" spans="1:16" ht="21.75" customHeight="1" x14ac:dyDescent="0.3">
      <c r="A409" s="174"/>
      <c r="B409" s="175"/>
      <c r="C409" s="175"/>
      <c r="D409" s="192"/>
      <c r="E409" s="196"/>
      <c r="F409" s="194"/>
      <c r="G409" s="195"/>
      <c r="H409" s="185" t="s">
        <v>37</v>
      </c>
      <c r="I409" s="186">
        <f ca="1">IFERROR(__xludf.DUMMYFUNCTION("IMPORTRANGE(""https://docs.google.com/spreadsheets/d/1yGy89TWty5kAjAO5OL1fLLQ_DL8fVJHFf2LvMm8qymA/edit?usp=sharing"",""รวมเหนือ!I398"")+IMPORTRANGE(""https://docs.google.com/spreadsheets/d/1bWGR5Y7oTgtZIep2hLdTHG-chM0w9aHBSSpJHwm6lak/edit?usp=sharing"","""&amp;"รวมตะวันออกเฉียงเหนือ!I398"")+IMPORTRANGE(""https://docs.google.com/spreadsheets/d/1dCxWUCc_SKNp-qd8qsaa5pPX_-BuQqWJ_-8FnsS4Ki0/edit?usp=sharing"",""รวมกลาง!I398"")+IMPORTRANGE(""https://docs.google.com/spreadsheets/d/1uOzBKYgpuhMUe0xXQLXSct3xZ80hakAMJHdG"&amp;"Jh9616E/edit?usp=sharing"",""รวมใต้!I398"")"),4500)</f>
        <v>4500</v>
      </c>
      <c r="J409" s="186">
        <f ca="1">IFERROR(__xludf.DUMMYFUNCTION("IMPORTRANGE(""https://docs.google.com/spreadsheets/d/1yGy89TWty5kAjAO5OL1fLLQ_DL8fVJHFf2LvMm8qymA/edit?usp=sharing"",""รวมเหนือ!J398"")+IMPORTRANGE(""https://docs.google.com/spreadsheets/d/1bWGR5Y7oTgtZIep2hLdTHG-chM0w9aHBSSpJHwm6lak/edit?usp=sharing"","""&amp;"รวมตะวันออกเฉียงเหนือ!J398"")+IMPORTRANGE(""https://docs.google.com/spreadsheets/d/1dCxWUCc_SKNp-qd8qsaa5pPX_-BuQqWJ_-8FnsS4Ki0/edit?usp=sharing"",""รวมกลาง!J398"")+IMPORTRANGE(""https://docs.google.com/spreadsheets/d/1uOzBKYgpuhMUe0xXQLXSct3xZ80hakAMJHdG"&amp;"Jh9616E/edit?usp=sharing"",""รวมใต้!J398"")"),492)</f>
        <v>492</v>
      </c>
      <c r="K409" s="163">
        <f t="shared" ca="1" si="122"/>
        <v>10.933333333333334</v>
      </c>
      <c r="L409" s="180"/>
      <c r="M409" s="180"/>
      <c r="N409" s="180"/>
      <c r="O409" s="180"/>
      <c r="P409" s="180"/>
    </row>
    <row r="410" spans="1:16" ht="21.75" customHeight="1" x14ac:dyDescent="0.3">
      <c r="A410" s="174"/>
      <c r="B410" s="175"/>
      <c r="C410" s="175"/>
      <c r="D410" s="192"/>
      <c r="E410" s="193" t="s">
        <v>51</v>
      </c>
      <c r="F410" s="194"/>
      <c r="G410" s="195"/>
      <c r="H410" s="185"/>
      <c r="I410" s="186"/>
      <c r="J410" s="186">
        <f ca="1">IFERROR(__xludf.DUMMYFUNCTION("IMPORTRANGE(""https://docs.google.com/spreadsheets/d/1yGy89TWty5kAjAO5OL1fLLQ_DL8fVJHFf2LvMm8qymA/edit?usp=sharing"",""รวมเหนือ!J399"")+IMPORTRANGE(""https://docs.google.com/spreadsheets/d/1bWGR5Y7oTgtZIep2hLdTHG-chM0w9aHBSSpJHwm6lak/edit?usp=sharing"","""&amp;"รวมตะวันออกเฉียงเหนือ!J399"")+IMPORTRANGE(""https://docs.google.com/spreadsheets/d/1dCxWUCc_SKNp-qd8qsaa5pPX_-BuQqWJ_-8FnsS4Ki0/edit?usp=sharing"",""รวมกลาง!J399"")+IMPORTRANGE(""https://docs.google.com/spreadsheets/d/1uOzBKYgpuhMUe0xXQLXSct3xZ80hakAMJHdG"&amp;"Jh9616E/edit?usp=sharing"",""รวมใต้!J399"")"),1)</f>
        <v>1</v>
      </c>
      <c r="K410" s="163"/>
      <c r="L410" s="180"/>
      <c r="M410" s="180"/>
      <c r="N410" s="180"/>
      <c r="O410" s="180"/>
      <c r="P410" s="180"/>
    </row>
    <row r="411" spans="1:16" ht="21.75" customHeight="1" x14ac:dyDescent="0.3">
      <c r="A411" s="174"/>
      <c r="B411" s="175"/>
      <c r="C411" s="175"/>
      <c r="D411" s="202">
        <v>3</v>
      </c>
      <c r="E411" s="203" t="s">
        <v>52</v>
      </c>
      <c r="F411" s="204"/>
      <c r="G411" s="205"/>
      <c r="H411" s="185"/>
      <c r="I411" s="186"/>
      <c r="J411" s="206">
        <f ca="1">IFERROR(__xludf.DUMMYFUNCTION("IMPORTRANGE(""https://docs.google.com/spreadsheets/d/1yGy89TWty5kAjAO5OL1fLLQ_DL8fVJHFf2LvMm8qymA/edit?usp=sharing"",""รวมเหนือ!J400"")+IMPORTRANGE(""https://docs.google.com/spreadsheets/d/1bWGR5Y7oTgtZIep2hLdTHG-chM0w9aHBSSpJHwm6lak/edit?usp=sharing"","""&amp;"รวมตะวันออกเฉียงเหนือ!J400"")+IMPORTRANGE(""https://docs.google.com/spreadsheets/d/1dCxWUCc_SKNp-qd8qsaa5pPX_-BuQqWJ_-8FnsS4Ki0/edit?usp=sharing"",""รวมกลาง!J400"")+IMPORTRANGE(""https://docs.google.com/spreadsheets/d/1uOzBKYgpuhMUe0xXQLXSct3xZ80hakAMJHdG"&amp;"Jh9616E/edit?usp=sharing"",""รวมใต้!J400"")"),0)</f>
        <v>0</v>
      </c>
      <c r="K411" s="163"/>
      <c r="L411" s="180"/>
      <c r="M411" s="180"/>
      <c r="N411" s="180"/>
      <c r="O411" s="180"/>
      <c r="P411" s="180"/>
    </row>
    <row r="412" spans="1:16" ht="21.75" customHeight="1" x14ac:dyDescent="0.3">
      <c r="A412" s="366"/>
      <c r="B412" s="367">
        <v>3</v>
      </c>
      <c r="C412" s="367" t="s">
        <v>145</v>
      </c>
      <c r="D412" s="368"/>
      <c r="E412" s="368"/>
      <c r="F412" s="368"/>
      <c r="G412" s="369"/>
      <c r="H412" s="370" t="s">
        <v>121</v>
      </c>
      <c r="I412" s="371">
        <f ca="1">IFERROR(__xludf.DUMMYFUNCTION("IMPORTRANGE(""https://docs.google.com/spreadsheets/d/1yGy89TWty5kAjAO5OL1fLLQ_DL8fVJHFf2LvMm8qymA/edit?usp=sharing"",""รวมเหนือ!I401"")+IMPORTRANGE(""https://docs.google.com/spreadsheets/d/1bWGR5Y7oTgtZIep2hLdTHG-chM0w9aHBSSpJHwm6lak/edit?usp=sharing"","""&amp;"รวมตะวันออกเฉียงเหนือ!I401"")+IMPORTRANGE(""https://docs.google.com/spreadsheets/d/1dCxWUCc_SKNp-qd8qsaa5pPX_-BuQqWJ_-8FnsS4Ki0/edit?usp=sharing"",""รวมกลาง!I401"")+IMPORTRANGE(""https://docs.google.com/spreadsheets/d/1uOzBKYgpuhMUe0xXQLXSct3xZ80hakAMJHdG"&amp;"Jh9616E/edit?usp=sharing"",""รวมใต้!I401"")"),10800)</f>
        <v>10800</v>
      </c>
      <c r="J412" s="371">
        <f ca="1">IFERROR(__xludf.DUMMYFUNCTION("IMPORTRANGE(""https://docs.google.com/spreadsheets/d/1yGy89TWty5kAjAO5OL1fLLQ_DL8fVJHFf2LvMm8qymA/edit?usp=sharing"",""รวมเหนือ!J401"")+IMPORTRANGE(""https://docs.google.com/spreadsheets/d/1bWGR5Y7oTgtZIep2hLdTHG-chM0w9aHBSSpJHwm6lak/edit?usp=sharing"","""&amp;"รวมตะวันออกเฉียงเหนือ!J401"")+IMPORTRANGE(""https://docs.google.com/spreadsheets/d/1dCxWUCc_SKNp-qd8qsaa5pPX_-BuQqWJ_-8FnsS4Ki0/edit?usp=sharing"",""รวมกลาง!J401"")+IMPORTRANGE(""https://docs.google.com/spreadsheets/d/1uOzBKYgpuhMUe0xXQLXSct3xZ80hakAMJHdG"&amp;"Jh9616E/edit?usp=sharing"",""รวมใต้!J401"")"),8373)</f>
        <v>8373</v>
      </c>
      <c r="K412" s="372">
        <f t="shared" ref="K412:K413" ca="1" si="123">IF(I412&gt;0,J412*100/I412,0)</f>
        <v>77.527777777777771</v>
      </c>
      <c r="L412" s="373">
        <f ca="1">L414+L415</f>
        <v>12761700</v>
      </c>
      <c r="M412" s="373"/>
      <c r="N412" s="373">
        <f ca="1">N414+N415</f>
        <v>7516223.8300000001</v>
      </c>
      <c r="O412" s="373">
        <f ca="1">+IF(L412&gt;0,N412*100/L412,0)</f>
        <v>58.896728727363907</v>
      </c>
      <c r="P412" s="373"/>
    </row>
    <row r="413" spans="1:16" ht="21.75" customHeight="1" x14ac:dyDescent="0.3">
      <c r="A413" s="366"/>
      <c r="B413" s="367"/>
      <c r="C413" s="367"/>
      <c r="D413" s="387"/>
      <c r="E413" s="387"/>
      <c r="F413" s="387"/>
      <c r="G413" s="390"/>
      <c r="H413" s="370" t="s">
        <v>37</v>
      </c>
      <c r="I413" s="371">
        <f ca="1">IFERROR(__xludf.DUMMYFUNCTION("IMPORTRANGE(""https://docs.google.com/spreadsheets/d/1yGy89TWty5kAjAO5OL1fLLQ_DL8fVJHFf2LvMm8qymA/edit?usp=sharing"",""รวมเหนือ!I402"")+IMPORTRANGE(""https://docs.google.com/spreadsheets/d/1bWGR5Y7oTgtZIep2hLdTHG-chM0w9aHBSSpJHwm6lak/edit?usp=sharing"","""&amp;"รวมตะวันออกเฉียงเหนือ!I402"")+IMPORTRANGE(""https://docs.google.com/spreadsheets/d/1dCxWUCc_SKNp-qd8qsaa5pPX_-BuQqWJ_-8FnsS4Ki0/edit?usp=sharing"",""รวมกลาง!I402"")+IMPORTRANGE(""https://docs.google.com/spreadsheets/d/1uOzBKYgpuhMUe0xXQLXSct3xZ80hakAMJHdG"&amp;"Jh9616E/edit?usp=sharing"",""รวมใต้!I402"")"),3600)</f>
        <v>3600</v>
      </c>
      <c r="J413" s="371">
        <f ca="1">IFERROR(__xludf.DUMMYFUNCTION("IMPORTRANGE(""https://docs.google.com/spreadsheets/d/1yGy89TWty5kAjAO5OL1fLLQ_DL8fVJHFf2LvMm8qymA/edit?usp=sharing"",""รวมเหนือ!J402"")+IMPORTRANGE(""https://docs.google.com/spreadsheets/d/1bWGR5Y7oTgtZIep2hLdTHG-chM0w9aHBSSpJHwm6lak/edit?usp=sharing"","""&amp;"รวมตะวันออกเฉียงเหนือ!J402"")+IMPORTRANGE(""https://docs.google.com/spreadsheets/d/1dCxWUCc_SKNp-qd8qsaa5pPX_-BuQqWJ_-8FnsS4Ki0/edit?usp=sharing"",""รวมกลาง!J402"")+IMPORTRANGE(""https://docs.google.com/spreadsheets/d/1uOzBKYgpuhMUe0xXQLXSct3xZ80hakAMJHdG"&amp;"Jh9616E/edit?usp=sharing"",""รวมใต้!J402"")"),3174)</f>
        <v>3174</v>
      </c>
      <c r="K413" s="372">
        <f t="shared" ca="1" si="123"/>
        <v>88.166666666666671</v>
      </c>
      <c r="L413" s="373"/>
      <c r="M413" s="373"/>
      <c r="N413" s="373"/>
      <c r="O413" s="373"/>
      <c r="P413" s="373"/>
    </row>
    <row r="414" spans="1:16" ht="21.75" customHeight="1" x14ac:dyDescent="0.3">
      <c r="A414" s="158"/>
      <c r="B414" s="159"/>
      <c r="C414" s="159" t="s">
        <v>16</v>
      </c>
      <c r="D414" s="274" t="s">
        <v>75</v>
      </c>
      <c r="E414" s="167"/>
      <c r="F414" s="167"/>
      <c r="G414" s="374" t="s">
        <v>38</v>
      </c>
      <c r="H414" s="168" t="s">
        <v>12</v>
      </c>
      <c r="I414" s="162" t="s">
        <v>39</v>
      </c>
      <c r="J414" s="162"/>
      <c r="K414" s="163"/>
      <c r="L414" s="275">
        <f ca="1">IFERROR(__xludf.DUMMYFUNCTION("IMPORTRANGE(""https://docs.google.com/spreadsheets/d/1muirlRDkqiswvy_NRZ3Yh955hx-PF6_HhssUYiSJj8o/edit?usp=sharing"",""กองทุนส่วนกลาง!O10"")"),526170)</f>
        <v>526170</v>
      </c>
      <c r="M414" s="275"/>
      <c r="N414" s="276">
        <f ca="1">IFERROR(__xludf.DUMMYFUNCTION("IMPORTRANGE(""https://docs.google.com/spreadsheets/d/1-fhVXPMm30suWK0-eslVgeT9cTVfCsDeUsq7Bk5UZE8/edit?usp=sharing"",""ทั้งประเทศ!M298"")"),120902.08)</f>
        <v>120902.08</v>
      </c>
      <c r="O414" s="276">
        <f t="shared" ref="O414:O417" ca="1" si="124">+IF(L414&gt;0,N414*100/L414,0)</f>
        <v>22.977760039530949</v>
      </c>
      <c r="P414" s="165"/>
    </row>
    <row r="415" spans="1:16" ht="21.75" customHeight="1" x14ac:dyDescent="0.3">
      <c r="A415" s="158"/>
      <c r="B415" s="159"/>
      <c r="C415" s="159"/>
      <c r="D415" s="166"/>
      <c r="E415" s="167"/>
      <c r="F415" s="167" t="s">
        <v>39</v>
      </c>
      <c r="G415" s="374" t="s">
        <v>40</v>
      </c>
      <c r="H415" s="168" t="s">
        <v>12</v>
      </c>
      <c r="I415" s="162"/>
      <c r="J415" s="162"/>
      <c r="K415" s="163"/>
      <c r="L415" s="276">
        <f ca="1">L416+L417</f>
        <v>12235530</v>
      </c>
      <c r="M415" s="276"/>
      <c r="N415" s="276">
        <f ca="1">N416+N417</f>
        <v>7395321.75</v>
      </c>
      <c r="O415" s="276">
        <f t="shared" ca="1" si="124"/>
        <v>60.441368293813184</v>
      </c>
      <c r="P415" s="165"/>
    </row>
    <row r="416" spans="1:16" ht="21.75" customHeight="1" x14ac:dyDescent="0.4">
      <c r="A416" s="158"/>
      <c r="B416" s="159"/>
      <c r="C416" s="159"/>
      <c r="D416" s="166"/>
      <c r="E416" s="167"/>
      <c r="F416" s="167"/>
      <c r="G416" s="34" t="s">
        <v>21</v>
      </c>
      <c r="H416" s="168" t="s">
        <v>12</v>
      </c>
      <c r="I416" s="162"/>
      <c r="J416" s="162"/>
      <c r="K416" s="163"/>
      <c r="L416" s="165">
        <f ca="1">IFERROR(__xludf.DUMMYFUNCTION("IMPORTRANGE(""https://docs.google.com/spreadsheets/d/1yGy89TWty5kAjAO5OL1fLLQ_DL8fVJHFf2LvMm8qymA/edit?usp=sharing"",""รวมเหนือ!L405"")+IMPORTRANGE(""https://docs.google.com/spreadsheets/d/1bWGR5Y7oTgtZIep2hLdTHG-chM0w9aHBSSpJHwm6lak/edit?usp=sharing"","""&amp;"รวมตะวันออกเฉียงเหนือ!L405"")+IMPORTRANGE(""https://docs.google.com/spreadsheets/d/1dCxWUCc_SKNp-qd8qsaa5pPX_-BuQqWJ_-8FnsS4Ki0/edit?usp=sharing"",""รวมกลาง!L405"")+IMPORTRANGE(""https://docs.google.com/spreadsheets/d/1uOzBKYgpuhMUe0xXQLXSct3xZ80hakAMJHdG"&amp;"Jh9616E/edit?usp=sharing"",""รวมใต้!L405"")"),0)</f>
        <v>0</v>
      </c>
      <c r="M416" s="165"/>
      <c r="N416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16" s="165">
        <f t="shared" ca="1" si="124"/>
        <v>0</v>
      </c>
      <c r="P416" s="165"/>
    </row>
    <row r="417" spans="1:16" ht="21.75" customHeight="1" x14ac:dyDescent="0.4">
      <c r="A417" s="158"/>
      <c r="B417" s="159"/>
      <c r="C417" s="159"/>
      <c r="D417" s="166"/>
      <c r="E417" s="167"/>
      <c r="F417" s="167"/>
      <c r="G417" s="34" t="s">
        <v>22</v>
      </c>
      <c r="H417" s="168" t="s">
        <v>12</v>
      </c>
      <c r="I417" s="162"/>
      <c r="J417" s="162"/>
      <c r="K417" s="163"/>
      <c r="L417" s="165">
        <f ca="1">IFERROR(__xludf.DUMMYFUNCTION("IMPORTRANGE(""https://docs.google.com/spreadsheets/d/1yGy89TWty5kAjAO5OL1fLLQ_DL8fVJHFf2LvMm8qymA/edit?usp=sharing"",""รวมเหนือ!L406"")+IMPORTRANGE(""https://docs.google.com/spreadsheets/d/1bWGR5Y7oTgtZIep2hLdTHG-chM0w9aHBSSpJHwm6lak/edit?usp=sharing"","""&amp;"รวมตะวันออกเฉียงเหนือ!L406"")+IMPORTRANGE(""https://docs.google.com/spreadsheets/d/1dCxWUCc_SKNp-qd8qsaa5pPX_-BuQqWJ_-8FnsS4Ki0/edit?usp=sharing"",""รวมกลาง!L406"")+IMPORTRANGE(""https://docs.google.com/spreadsheets/d/1uOzBKYgpuhMUe0xXQLXSct3xZ80hakAMJHdG"&amp;"Jh9616E/edit?usp=sharing"",""รวมใต้!L406"")"),12235530)</f>
        <v>12235530</v>
      </c>
      <c r="M417" s="165"/>
      <c r="N417" s="165">
        <f ca="1">N418+N419+N420+N421</f>
        <v>7395321.75</v>
      </c>
      <c r="O417" s="165">
        <f t="shared" ca="1" si="124"/>
        <v>60.441368293813184</v>
      </c>
      <c r="P417" s="165"/>
    </row>
    <row r="418" spans="1:16" ht="21.75" customHeight="1" x14ac:dyDescent="0.3">
      <c r="A418" s="375"/>
      <c r="B418" s="376"/>
      <c r="C418" s="159"/>
      <c r="D418" s="377"/>
      <c r="E418" s="167"/>
      <c r="F418" s="167"/>
      <c r="G418" s="378" t="s">
        <v>129</v>
      </c>
      <c r="H418" s="168" t="s">
        <v>12</v>
      </c>
      <c r="I418" s="186"/>
      <c r="J418" s="186"/>
      <c r="K418" s="221"/>
      <c r="L418" s="165"/>
      <c r="M418" s="165"/>
      <c r="N418" s="164">
        <f ca="1">IFERROR(__xludf.DUMMYFUNCTION("IMPORTRANGE(""https://docs.google.com/spreadsheets/d/1yGy89TWty5kAjAO5OL1fLLQ_DL8fVJHFf2LvMm8qymA/edit?usp=sharing"",""รวมเหนือ!N407"")+IMPORTRANGE(""https://docs.google.com/spreadsheets/d/1bWGR5Y7oTgtZIep2hLdTHG-chM0w9aHBSSpJHwm6lak/edit?usp=sharing"","""&amp;"รวมตะวันออกเฉียงเหนือ!N407"")+IMPORTRANGE(""https://docs.google.com/spreadsheets/d/1dCxWUCc_SKNp-qd8qsaa5pPX_-BuQqWJ_-8FnsS4Ki0/edit?usp=sharing"",""รวมกลาง!N407"")+IMPORTRANGE(""https://docs.google.com/spreadsheets/d/1uOzBKYgpuhMUe0xXQLXSct3xZ80hakAMJHdG"&amp;"Jh9616E/edit?usp=sharing"",""รวมใต้!N407"")"),5717674.75)</f>
        <v>5717674.75</v>
      </c>
      <c r="O418" s="165"/>
      <c r="P418" s="165"/>
    </row>
    <row r="419" spans="1:16" ht="21.75" customHeight="1" x14ac:dyDescent="0.3">
      <c r="A419" s="375"/>
      <c r="B419" s="376"/>
      <c r="C419" s="159"/>
      <c r="D419" s="377"/>
      <c r="E419" s="167"/>
      <c r="F419" s="167"/>
      <c r="G419" s="378" t="s">
        <v>130</v>
      </c>
      <c r="H419" s="168" t="s">
        <v>12</v>
      </c>
      <c r="I419" s="186"/>
      <c r="J419" s="186"/>
      <c r="K419" s="221"/>
      <c r="L419" s="165"/>
      <c r="M419" s="165"/>
      <c r="N419" s="164">
        <f ca="1">IFERROR(__xludf.DUMMYFUNCTION("IMPORTRANGE(""https://docs.google.com/spreadsheets/d/1yGy89TWty5kAjAO5OL1fLLQ_DL8fVJHFf2LvMm8qymA/edit?usp=sharing"",""รวมเหนือ!N408"")+IMPORTRANGE(""https://docs.google.com/spreadsheets/d/1bWGR5Y7oTgtZIep2hLdTHG-chM0w9aHBSSpJHwm6lak/edit?usp=sharing"","""&amp;"รวมตะวันออกเฉียงเหนือ!N408"")+IMPORTRANGE(""https://docs.google.com/spreadsheets/d/1dCxWUCc_SKNp-qd8qsaa5pPX_-BuQqWJ_-8FnsS4Ki0/edit?usp=sharing"",""รวมกลาง!N408"")+IMPORTRANGE(""https://docs.google.com/spreadsheets/d/1uOzBKYgpuhMUe0xXQLXSct3xZ80hakAMJHdG"&amp;"Jh9616E/edit?usp=sharing"",""รวมใต้!N408"")"),856495)</f>
        <v>856495</v>
      </c>
      <c r="O419" s="165"/>
      <c r="P419" s="165"/>
    </row>
    <row r="420" spans="1:16" ht="21.75" customHeight="1" x14ac:dyDescent="0.3">
      <c r="A420" s="375"/>
      <c r="B420" s="376"/>
      <c r="C420" s="159"/>
      <c r="D420" s="377"/>
      <c r="E420" s="167"/>
      <c r="F420" s="167"/>
      <c r="G420" s="378" t="s">
        <v>131</v>
      </c>
      <c r="H420" s="168" t="s">
        <v>12</v>
      </c>
      <c r="I420" s="186"/>
      <c r="J420" s="186"/>
      <c r="K420" s="221"/>
      <c r="L420" s="165"/>
      <c r="M420" s="165"/>
      <c r="N420" s="164">
        <f ca="1">IFERROR(__xludf.DUMMYFUNCTION("IMPORTRANGE(""https://docs.google.com/spreadsheets/d/1yGy89TWty5kAjAO5OL1fLLQ_DL8fVJHFf2LvMm8qymA/edit?usp=sharing"",""รวมเหนือ!N409"")+IMPORTRANGE(""https://docs.google.com/spreadsheets/d/1bWGR5Y7oTgtZIep2hLdTHG-chM0w9aHBSSpJHwm6lak/edit?usp=sharing"","""&amp;"รวมตะวันออกเฉียงเหนือ!N409"")+IMPORTRANGE(""https://docs.google.com/spreadsheets/d/1dCxWUCc_SKNp-qd8qsaa5pPX_-BuQqWJ_-8FnsS4Ki0/edit?usp=sharing"",""รวมกลาง!N409"")+IMPORTRANGE(""https://docs.google.com/spreadsheets/d/1uOzBKYgpuhMUe0xXQLXSct3xZ80hakAMJHdG"&amp;"Jh9616E/edit?usp=sharing"",""รวมใต้!N409"")"),1860)</f>
        <v>1860</v>
      </c>
      <c r="O420" s="165"/>
      <c r="P420" s="165"/>
    </row>
    <row r="421" spans="1:16" ht="21.75" customHeight="1" x14ac:dyDescent="0.3">
      <c r="A421" s="375"/>
      <c r="B421" s="376"/>
      <c r="C421" s="159"/>
      <c r="D421" s="377"/>
      <c r="E421" s="167"/>
      <c r="F421" s="167"/>
      <c r="G421" s="378" t="s">
        <v>132</v>
      </c>
      <c r="H421" s="168" t="s">
        <v>12</v>
      </c>
      <c r="I421" s="186"/>
      <c r="J421" s="186"/>
      <c r="K421" s="221"/>
      <c r="L421" s="165"/>
      <c r="M421" s="165"/>
      <c r="N421" s="164">
        <f ca="1">IFERROR(__xludf.DUMMYFUNCTION("IMPORTRANGE(""https://docs.google.com/spreadsheets/d/1yGy89TWty5kAjAO5OL1fLLQ_DL8fVJHFf2LvMm8qymA/edit?usp=sharing"",""รวมเหนือ!N410"")+IMPORTRANGE(""https://docs.google.com/spreadsheets/d/1bWGR5Y7oTgtZIep2hLdTHG-chM0w9aHBSSpJHwm6lak/edit?usp=sharing"","""&amp;"รวมตะวันออกเฉียงเหนือ!N410"")+IMPORTRANGE(""https://docs.google.com/spreadsheets/d/1dCxWUCc_SKNp-qd8qsaa5pPX_-BuQqWJ_-8FnsS4Ki0/edit?usp=sharing"",""รวมกลาง!N410"")+IMPORTRANGE(""https://docs.google.com/spreadsheets/d/1uOzBKYgpuhMUe0xXQLXSct3xZ80hakAMJHdG"&amp;"Jh9616E/edit?usp=sharing"",""รวมใต้!N410"")"),819292)</f>
        <v>819292</v>
      </c>
      <c r="O421" s="165"/>
      <c r="P421" s="165"/>
    </row>
    <row r="422" spans="1:16" ht="21.75" customHeight="1" x14ac:dyDescent="0.3">
      <c r="A422" s="174"/>
      <c r="B422" s="175"/>
      <c r="C422" s="159" t="s">
        <v>16</v>
      </c>
      <c r="D422" s="176" t="s">
        <v>41</v>
      </c>
      <c r="E422" s="177"/>
      <c r="F422" s="177"/>
      <c r="G422" s="178"/>
      <c r="H422" s="179"/>
      <c r="I422" s="162"/>
      <c r="J422" s="162"/>
      <c r="K422" s="163"/>
      <c r="L422" s="180"/>
      <c r="M422" s="180"/>
      <c r="N422" s="180"/>
      <c r="O422" s="180"/>
      <c r="P422" s="180"/>
    </row>
    <row r="423" spans="1:16" ht="21.75" customHeight="1" x14ac:dyDescent="0.3">
      <c r="A423" s="174"/>
      <c r="B423" s="175"/>
      <c r="C423" s="175"/>
      <c r="D423" s="181">
        <v>1</v>
      </c>
      <c r="E423" s="182" t="s">
        <v>42</v>
      </c>
      <c r="F423" s="183"/>
      <c r="G423" s="184"/>
      <c r="H423" s="185"/>
      <c r="I423" s="186"/>
      <c r="J423" s="186">
        <f ca="1">IFERROR(__xludf.DUMMYFUNCTION("IMPORTRANGE(""https://docs.google.com/spreadsheets/d/1yGy89TWty5kAjAO5OL1fLLQ_DL8fVJHFf2LvMm8qymA/edit?usp=sharing"",""รวมเหนือ!J412"")+IMPORTRANGE(""https://docs.google.com/spreadsheets/d/1bWGR5Y7oTgtZIep2hLdTHG-chM0w9aHBSSpJHwm6lak/edit?usp=sharing"","""&amp;"รวมตะวันออกเฉียงเหนือ!J412"")+IMPORTRANGE(""https://docs.google.com/spreadsheets/d/1dCxWUCc_SKNp-qd8qsaa5pPX_-BuQqWJ_-8FnsS4Ki0/edit?usp=sharing"",""รวมกลาง!J412"")+IMPORTRANGE(""https://docs.google.com/spreadsheets/d/1uOzBKYgpuhMUe0xXQLXSct3xZ80hakAMJHdG"&amp;"Jh9616E/edit?usp=sharing"",""รวมใต้!J412"")"),0)</f>
        <v>0</v>
      </c>
      <c r="K423" s="163"/>
      <c r="L423" s="180"/>
      <c r="M423" s="180"/>
      <c r="N423" s="180"/>
      <c r="O423" s="180"/>
      <c r="P423" s="180"/>
    </row>
    <row r="424" spans="1:16" ht="21.75" customHeight="1" x14ac:dyDescent="0.3">
      <c r="A424" s="174"/>
      <c r="B424" s="175"/>
      <c r="C424" s="175"/>
      <c r="D424" s="188">
        <v>2</v>
      </c>
      <c r="E424" s="189" t="s">
        <v>43</v>
      </c>
      <c r="F424" s="190"/>
      <c r="G424" s="191"/>
      <c r="H424" s="185"/>
      <c r="I424" s="186"/>
      <c r="J424" s="187">
        <f ca="1">IFERROR(__xludf.DUMMYFUNCTION("IMPORTRANGE(""https://docs.google.com/spreadsheets/d/1yGy89TWty5kAjAO5OL1fLLQ_DL8fVJHFf2LvMm8qymA/edit?usp=sharing"",""รวมเหนือ!J413"")+IMPORTRANGE(""https://docs.google.com/spreadsheets/d/1bWGR5Y7oTgtZIep2hLdTHG-chM0w9aHBSSpJHwm6lak/edit?usp=sharing"","""&amp;"รวมตะวันออกเฉียงเหนือ!J413"")+IMPORTRANGE(""https://docs.google.com/spreadsheets/d/1dCxWUCc_SKNp-qd8qsaa5pPX_-BuQqWJ_-8FnsS4Ki0/edit?usp=sharing"",""รวมกลาง!J413"")+IMPORTRANGE(""https://docs.google.com/spreadsheets/d/1uOzBKYgpuhMUe0xXQLXSct3xZ80hakAMJHdG"&amp;"Jh9616E/edit?usp=sharing"",""รวมใต้!J413"")"),71)</f>
        <v>71</v>
      </c>
      <c r="K424" s="163"/>
      <c r="L424" s="180" t="s">
        <v>39</v>
      </c>
      <c r="M424" s="180"/>
      <c r="N424" s="180" t="s">
        <v>39</v>
      </c>
      <c r="O424" s="180"/>
      <c r="P424" s="180"/>
    </row>
    <row r="425" spans="1:16" ht="21.75" customHeight="1" x14ac:dyDescent="0.3">
      <c r="A425" s="174"/>
      <c r="B425" s="175"/>
      <c r="C425" s="175"/>
      <c r="D425" s="192"/>
      <c r="E425" s="193" t="s">
        <v>44</v>
      </c>
      <c r="F425" s="194"/>
      <c r="G425" s="195"/>
      <c r="H425" s="185"/>
      <c r="I425" s="186"/>
      <c r="J425" s="187">
        <f ca="1">IFERROR(__xludf.DUMMYFUNCTION("IMPORTRANGE(""https://docs.google.com/spreadsheets/d/1yGy89TWty5kAjAO5OL1fLLQ_DL8fVJHFf2LvMm8qymA/edit?usp=sharing"",""รวมเหนือ!J414"")+IMPORTRANGE(""https://docs.google.com/spreadsheets/d/1bWGR5Y7oTgtZIep2hLdTHG-chM0w9aHBSSpJHwm6lak/edit?usp=sharing"","""&amp;"รวมตะวันออกเฉียงเหนือ!J414"")+IMPORTRANGE(""https://docs.google.com/spreadsheets/d/1dCxWUCc_SKNp-qd8qsaa5pPX_-BuQqWJ_-8FnsS4Ki0/edit?usp=sharing"",""รวมกลาง!J414"")+IMPORTRANGE(""https://docs.google.com/spreadsheets/d/1uOzBKYgpuhMUe0xXQLXSct3xZ80hakAMJHdG"&amp;"Jh9616E/edit?usp=sharing"",""รวมใต้!J414"")"),69)</f>
        <v>69</v>
      </c>
      <c r="K425" s="163"/>
      <c r="L425" s="180"/>
      <c r="M425" s="180"/>
      <c r="N425" s="180"/>
      <c r="O425" s="180"/>
      <c r="P425" s="180"/>
    </row>
    <row r="426" spans="1:16" ht="21.75" customHeight="1" x14ac:dyDescent="0.3">
      <c r="A426" s="174"/>
      <c r="B426" s="175"/>
      <c r="C426" s="175"/>
      <c r="D426" s="192"/>
      <c r="E426" s="193" t="s">
        <v>45</v>
      </c>
      <c r="F426" s="194"/>
      <c r="G426" s="195"/>
      <c r="H426" s="185"/>
      <c r="I426" s="186"/>
      <c r="J426" s="186">
        <f ca="1">IFERROR(__xludf.DUMMYFUNCTION("IMPORTRANGE(""https://docs.google.com/spreadsheets/d/1yGy89TWty5kAjAO5OL1fLLQ_DL8fVJHFf2LvMm8qymA/edit?usp=sharing"",""รวมเหนือ!J415"")+IMPORTRANGE(""https://docs.google.com/spreadsheets/d/1bWGR5Y7oTgtZIep2hLdTHG-chM0w9aHBSSpJHwm6lak/edit?usp=sharing"","""&amp;"รวมตะวันออกเฉียงเหนือ!J415"")+IMPORTRANGE(""https://docs.google.com/spreadsheets/d/1dCxWUCc_SKNp-qd8qsaa5pPX_-BuQqWJ_-8FnsS4Ki0/edit?usp=sharing"",""รวมกลาง!J415"")+IMPORTRANGE(""https://docs.google.com/spreadsheets/d/1uOzBKYgpuhMUe0xXQLXSct3xZ80hakAMJHdG"&amp;"Jh9616E/edit?usp=sharing"",""รวมใต้!J415"")"),61)</f>
        <v>61</v>
      </c>
      <c r="K426" s="163"/>
      <c r="L426" s="180"/>
      <c r="M426" s="180"/>
      <c r="N426" s="180"/>
      <c r="O426" s="180"/>
      <c r="P426" s="180"/>
    </row>
    <row r="427" spans="1:16" ht="21.75" customHeight="1" x14ac:dyDescent="0.3">
      <c r="A427" s="174"/>
      <c r="B427" s="175"/>
      <c r="C427" s="175"/>
      <c r="D427" s="192"/>
      <c r="E427" s="196"/>
      <c r="F427" s="193" t="s">
        <v>67</v>
      </c>
      <c r="G427" s="391"/>
      <c r="H427" s="392" t="s">
        <v>37</v>
      </c>
      <c r="I427" s="198">
        <f ca="1">IFERROR(__xludf.DUMMYFUNCTION("IMPORTRANGE(""https://docs.google.com/spreadsheets/d/1yGy89TWty5kAjAO5OL1fLLQ_DL8fVJHFf2LvMm8qymA/edit?usp=sharing"",""รวมเหนือ!I416"")+IMPORTRANGE(""https://docs.google.com/spreadsheets/d/1bWGR5Y7oTgtZIep2hLdTHG-chM0w9aHBSSpJHwm6lak/edit?usp=sharing"","""&amp;"รวมตะวันออกเฉียงเหนือ!I416"")+IMPORTRANGE(""https://docs.google.com/spreadsheets/d/1dCxWUCc_SKNp-qd8qsaa5pPX_-BuQqWJ_-8FnsS4Ki0/edit?usp=sharing"",""รวมกลาง!I416"")+IMPORTRANGE(""https://docs.google.com/spreadsheets/d/1uOzBKYgpuhMUe0xXQLXSct3xZ80hakAMJHdG"&amp;"Jh9616E/edit?usp=sharing"",""รวมใต้!I416"")"),3600)</f>
        <v>3600</v>
      </c>
      <c r="J427" s="198">
        <f ca="1">IFERROR(__xludf.DUMMYFUNCTION("IMPORTRANGE(""https://docs.google.com/spreadsheets/d/1yGy89TWty5kAjAO5OL1fLLQ_DL8fVJHFf2LvMm8qymA/edit?usp=sharing"",""รวมเหนือ!J416"")+IMPORTRANGE(""https://docs.google.com/spreadsheets/d/1bWGR5Y7oTgtZIep2hLdTHG-chM0w9aHBSSpJHwm6lak/edit?usp=sharing"","""&amp;"รวมตะวันออกเฉียงเหนือ!J416"")+IMPORTRANGE(""https://docs.google.com/spreadsheets/d/1dCxWUCc_SKNp-qd8qsaa5pPX_-BuQqWJ_-8FnsS4Ki0/edit?usp=sharing"",""รวมกลาง!J416"")+IMPORTRANGE(""https://docs.google.com/spreadsheets/d/1uOzBKYgpuhMUe0xXQLXSct3xZ80hakAMJHdG"&amp;"Jh9616E/edit?usp=sharing"",""รวมใต้!J416"")"),3174)</f>
        <v>3174</v>
      </c>
      <c r="K427" s="199">
        <f t="shared" ref="K427:K443" ca="1" si="125">IF(I427&gt;0,J427*100/I427,0)</f>
        <v>88.166666666666671</v>
      </c>
      <c r="L427" s="180"/>
      <c r="M427" s="180"/>
      <c r="N427" s="180"/>
      <c r="O427" s="180"/>
      <c r="P427" s="180"/>
    </row>
    <row r="428" spans="1:16" ht="21.75" customHeight="1" x14ac:dyDescent="0.4">
      <c r="A428" s="174"/>
      <c r="B428" s="175"/>
      <c r="C428" s="175"/>
      <c r="D428" s="192"/>
      <c r="E428" s="196"/>
      <c r="F428" s="393" t="s">
        <v>146</v>
      </c>
      <c r="G428" s="195"/>
      <c r="H428" s="197" t="s">
        <v>37</v>
      </c>
      <c r="I428" s="394">
        <f ca="1">IFERROR(__xludf.DUMMYFUNCTION("IMPORTRANGE(""https://docs.google.com/spreadsheets/d/1yGy89TWty5kAjAO5OL1fLLQ_DL8fVJHFf2LvMm8qymA/edit?usp=sharing"",""รวมเหนือ!I417"")+IMPORTRANGE(""https://docs.google.com/spreadsheets/d/1bWGR5Y7oTgtZIep2hLdTHG-chM0w9aHBSSpJHwm6lak/edit?usp=sharing"","""&amp;"รวมตะวันออกเฉียงเหนือ!I417"")+IMPORTRANGE(""https://docs.google.com/spreadsheets/d/1dCxWUCc_SKNp-qd8qsaa5pPX_-BuQqWJ_-8FnsS4Ki0/edit?usp=sharing"",""รวมกลาง!I417"")+IMPORTRANGE(""https://docs.google.com/spreadsheets/d/1uOzBKYgpuhMUe0xXQLXSct3xZ80hakAMJHdG"&amp;"Jh9616E/edit?usp=sharing"",""รวมใต้!I417"")"),843)</f>
        <v>843</v>
      </c>
      <c r="J428" s="395">
        <f ca="1">IFERROR(__xludf.DUMMYFUNCTION("IMPORTRANGE(""https://docs.google.com/spreadsheets/d/1yGy89TWty5kAjAO5OL1fLLQ_DL8fVJHFf2LvMm8qymA/edit?usp=sharing"",""รวมเหนือ!J417"")+IMPORTRANGE(""https://docs.google.com/spreadsheets/d/1bWGR5Y7oTgtZIep2hLdTHG-chM0w9aHBSSpJHwm6lak/edit?usp=sharing"","""&amp;"รวมตะวันออกเฉียงเหนือ!J417"")+IMPORTRANGE(""https://docs.google.com/spreadsheets/d/1dCxWUCc_SKNp-qd8qsaa5pPX_-BuQqWJ_-8FnsS4Ki0/edit?usp=sharing"",""รวมกลาง!J417"")+IMPORTRANGE(""https://docs.google.com/spreadsheets/d/1uOzBKYgpuhMUe0xXQLXSct3xZ80hakAMJHdG"&amp;"Jh9616E/edit?usp=sharing"",""รวมใต้!J417"")"),750)</f>
        <v>750</v>
      </c>
      <c r="K428" s="199">
        <f t="shared" ca="1" si="125"/>
        <v>88.967971530249116</v>
      </c>
      <c r="L428" s="180"/>
      <c r="M428" s="180"/>
      <c r="N428" s="180"/>
      <c r="O428" s="180"/>
      <c r="P428" s="180"/>
    </row>
    <row r="429" spans="1:16" ht="21.75" customHeight="1" x14ac:dyDescent="0.4">
      <c r="A429" s="174"/>
      <c r="B429" s="175"/>
      <c r="C429" s="175"/>
      <c r="D429" s="192"/>
      <c r="E429" s="196"/>
      <c r="F429" s="194"/>
      <c r="G429" s="195"/>
      <c r="H429" s="197" t="s">
        <v>121</v>
      </c>
      <c r="I429" s="394">
        <f ca="1">IFERROR(__xludf.DUMMYFUNCTION("IMPORTRANGE(""https://docs.google.com/spreadsheets/d/1yGy89TWty5kAjAO5OL1fLLQ_DL8fVJHFf2LvMm8qymA/edit?usp=sharing"",""รวมเหนือ!I418"")+IMPORTRANGE(""https://docs.google.com/spreadsheets/d/1bWGR5Y7oTgtZIep2hLdTHG-chM0w9aHBSSpJHwm6lak/edit?usp=sharing"","""&amp;"รวมตะวันออกเฉียงเหนือ!I418"")+IMPORTRANGE(""https://docs.google.com/spreadsheets/d/1dCxWUCc_SKNp-qd8qsaa5pPX_-BuQqWJ_-8FnsS4Ki0/edit?usp=sharing"",""รวมกลาง!I418"")+IMPORTRANGE(""https://docs.google.com/spreadsheets/d/1uOzBKYgpuhMUe0xXQLXSct3xZ80hakAMJHdG"&amp;"Jh9616E/edit?usp=sharing"",""รวมใต้!I418"")"),2529)</f>
        <v>2529</v>
      </c>
      <c r="J429" s="395">
        <f ca="1">IFERROR(__xludf.DUMMYFUNCTION("IMPORTRANGE(""https://docs.google.com/spreadsheets/d/1yGy89TWty5kAjAO5OL1fLLQ_DL8fVJHFf2LvMm8qymA/edit?usp=sharing"",""รวมเหนือ!J418"")+IMPORTRANGE(""https://docs.google.com/spreadsheets/d/1bWGR5Y7oTgtZIep2hLdTHG-chM0w9aHBSSpJHwm6lak/edit?usp=sharing"","""&amp;"รวมตะวันออกเฉียงเหนือ!J418"")+IMPORTRANGE(""https://docs.google.com/spreadsheets/d/1dCxWUCc_SKNp-qd8qsaa5pPX_-BuQqWJ_-8FnsS4Ki0/edit?usp=sharing"",""รวมกลาง!J418"")+IMPORTRANGE(""https://docs.google.com/spreadsheets/d/1uOzBKYgpuhMUe0xXQLXSct3xZ80hakAMJHdG"&amp;"Jh9616E/edit?usp=sharing"",""รวมใต้!J418"")"),2046)</f>
        <v>2046</v>
      </c>
      <c r="K429" s="199">
        <f t="shared" ca="1" si="125"/>
        <v>80.901542111506529</v>
      </c>
      <c r="L429" s="180"/>
      <c r="M429" s="180"/>
      <c r="N429" s="180"/>
      <c r="O429" s="180"/>
      <c r="P429" s="180"/>
    </row>
    <row r="430" spans="1:16" ht="21.75" customHeight="1" x14ac:dyDescent="0.4">
      <c r="A430" s="174"/>
      <c r="B430" s="175"/>
      <c r="C430" s="175"/>
      <c r="D430" s="192"/>
      <c r="E430" s="196"/>
      <c r="F430" s="194"/>
      <c r="G430" s="288" t="s">
        <v>147</v>
      </c>
      <c r="H430" s="179" t="s">
        <v>37</v>
      </c>
      <c r="I430" s="340">
        <f ca="1">IFERROR(__xludf.DUMMYFUNCTION("IMPORTRANGE(""https://docs.google.com/spreadsheets/d/1yGy89TWty5kAjAO5OL1fLLQ_DL8fVJHFf2LvMm8qymA/edit?usp=sharing"",""รวมเหนือ!I419"")+IMPORTRANGE(""https://docs.google.com/spreadsheets/d/1bWGR5Y7oTgtZIep2hLdTHG-chM0w9aHBSSpJHwm6lak/edit?usp=sharing"","""&amp;"รวมตะวันออกเฉียงเหนือ!I419"")+IMPORTRANGE(""https://docs.google.com/spreadsheets/d/1dCxWUCc_SKNp-qd8qsaa5pPX_-BuQqWJ_-8FnsS4Ki0/edit?usp=sharing"",""รวมกลาง!I419"")+IMPORTRANGE(""https://docs.google.com/spreadsheets/d/1uOzBKYgpuhMUe0xXQLXSct3xZ80hakAMJHdG"&amp;"Jh9616E/edit?usp=sharing"",""รวมใต้!I419"")"),843)</f>
        <v>843</v>
      </c>
      <c r="J430" s="396">
        <f ca="1">IFERROR(__xludf.DUMMYFUNCTION("IMPORTRANGE(""https://docs.google.com/spreadsheets/d/1yGy89TWty5kAjAO5OL1fLLQ_DL8fVJHFf2LvMm8qymA/edit?usp=sharing"",""รวมเหนือ!J419"")+IMPORTRANGE(""https://docs.google.com/spreadsheets/d/1bWGR5Y7oTgtZIep2hLdTHG-chM0w9aHBSSpJHwm6lak/edit?usp=sharing"","""&amp;"รวมตะวันออกเฉียงเหนือ!J419"")+IMPORTRANGE(""https://docs.google.com/spreadsheets/d/1dCxWUCc_SKNp-qd8qsaa5pPX_-BuQqWJ_-8FnsS4Ki0/edit?usp=sharing"",""รวมกลาง!J419"")+IMPORTRANGE(""https://docs.google.com/spreadsheets/d/1uOzBKYgpuhMUe0xXQLXSct3xZ80hakAMJHdG"&amp;"Jh9616E/edit?usp=sharing"",""รวมใต้!J419"")"),760)</f>
        <v>760</v>
      </c>
      <c r="K430" s="163">
        <f t="shared" ca="1" si="125"/>
        <v>90.154211150652429</v>
      </c>
      <c r="L430" s="180"/>
      <c r="M430" s="180"/>
      <c r="N430" s="180"/>
      <c r="O430" s="180"/>
      <c r="P430" s="180"/>
    </row>
    <row r="431" spans="1:16" ht="21.75" customHeight="1" x14ac:dyDescent="0.4">
      <c r="A431" s="230"/>
      <c r="B431" s="231"/>
      <c r="C431" s="231"/>
      <c r="D431" s="397"/>
      <c r="E431" s="398"/>
      <c r="F431" s="346"/>
      <c r="G431" s="399" t="s">
        <v>148</v>
      </c>
      <c r="H431" s="348" t="s">
        <v>37</v>
      </c>
      <c r="I431" s="400">
        <f ca="1">IFERROR(__xludf.DUMMYFUNCTION("IMPORTRANGE(""https://docs.google.com/spreadsheets/d/1yGy89TWty5kAjAO5OL1fLLQ_DL8fVJHFf2LvMm8qymA/edit?usp=sharing"",""รวมเหนือ!I420"")+IMPORTRANGE(""https://docs.google.com/spreadsheets/d/1bWGR5Y7oTgtZIep2hLdTHG-chM0w9aHBSSpJHwm6lak/edit?usp=sharing"","""&amp;"รวมตะวันออกเฉียงเหนือ!I420"")+IMPORTRANGE(""https://docs.google.com/spreadsheets/d/1dCxWUCc_SKNp-qd8qsaa5pPX_-BuQqWJ_-8FnsS4Ki0/edit?usp=sharing"",""รวมกลาง!I420"")+IMPORTRANGE(""https://docs.google.com/spreadsheets/d/1uOzBKYgpuhMUe0xXQLXSct3xZ80hakAMJHdG"&amp;"Jh9616E/edit?usp=sharing"",""รวมใต้!I420"")"),843)</f>
        <v>843</v>
      </c>
      <c r="J431" s="396">
        <f ca="1">IFERROR(__xludf.DUMMYFUNCTION("IMPORTRANGE(""https://docs.google.com/spreadsheets/d/1yGy89TWty5kAjAO5OL1fLLQ_DL8fVJHFf2LvMm8qymA/edit?usp=sharing"",""รวมเหนือ!J420"")+IMPORTRANGE(""https://docs.google.com/spreadsheets/d/1bWGR5Y7oTgtZIep2hLdTHG-chM0w9aHBSSpJHwm6lak/edit?usp=sharing"","""&amp;"รวมตะวันออกเฉียงเหนือ!J420"")+IMPORTRANGE(""https://docs.google.com/spreadsheets/d/1dCxWUCc_SKNp-qd8qsaa5pPX_-BuQqWJ_-8FnsS4Ki0/edit?usp=sharing"",""รวมกลาง!J420"")+IMPORTRANGE(""https://docs.google.com/spreadsheets/d/1uOzBKYgpuhMUe0xXQLXSct3xZ80hakAMJHdG"&amp;"Jh9616E/edit?usp=sharing"",""รวมใต้!J420"")"),833)</f>
        <v>833</v>
      </c>
      <c r="K431" s="286">
        <f t="shared" ca="1" si="125"/>
        <v>98.813760379596673</v>
      </c>
      <c r="L431" s="241"/>
      <c r="M431" s="241"/>
      <c r="N431" s="241"/>
      <c r="O431" s="241"/>
      <c r="P431" s="241"/>
    </row>
    <row r="432" spans="1:16" ht="21.75" customHeight="1" x14ac:dyDescent="0.4">
      <c r="A432" s="174"/>
      <c r="B432" s="175"/>
      <c r="C432" s="175"/>
      <c r="D432" s="192"/>
      <c r="E432" s="196"/>
      <c r="F432" s="393" t="s">
        <v>149</v>
      </c>
      <c r="G432" s="195"/>
      <c r="H432" s="197" t="s">
        <v>37</v>
      </c>
      <c r="I432" s="394">
        <f ca="1">IFERROR(__xludf.DUMMYFUNCTION("IMPORTRANGE(""https://docs.google.com/spreadsheets/d/1yGy89TWty5kAjAO5OL1fLLQ_DL8fVJHFf2LvMm8qymA/edit?usp=sharing"",""รวมเหนือ!I421"")+IMPORTRANGE(""https://docs.google.com/spreadsheets/d/1bWGR5Y7oTgtZIep2hLdTHG-chM0w9aHBSSpJHwm6lak/edit?usp=sharing"","""&amp;"รวมตะวันออกเฉียงเหนือ!I421"")+IMPORTRANGE(""https://docs.google.com/spreadsheets/d/1dCxWUCc_SKNp-qd8qsaa5pPX_-BuQqWJ_-8FnsS4Ki0/edit?usp=sharing"",""รวมกลาง!I421"")+IMPORTRANGE(""https://docs.google.com/spreadsheets/d/1uOzBKYgpuhMUe0xXQLXSct3xZ80hakAMJHdG"&amp;"Jh9616E/edit?usp=sharing"",""รวมใต้!I421"")"),1949)</f>
        <v>1949</v>
      </c>
      <c r="J432" s="395">
        <f ca="1">IFERROR(__xludf.DUMMYFUNCTION("IMPORTRANGE(""https://docs.google.com/spreadsheets/d/1yGy89TWty5kAjAO5OL1fLLQ_DL8fVJHFf2LvMm8qymA/edit?usp=sharing"",""รวมเหนือ!J421"")+IMPORTRANGE(""https://docs.google.com/spreadsheets/d/1bWGR5Y7oTgtZIep2hLdTHG-chM0w9aHBSSpJHwm6lak/edit?usp=sharing"","""&amp;"รวมตะวันออกเฉียงเหนือ!J421"")+IMPORTRANGE(""https://docs.google.com/spreadsheets/d/1dCxWUCc_SKNp-qd8qsaa5pPX_-BuQqWJ_-8FnsS4Ki0/edit?usp=sharing"",""รวมกลาง!J421"")+IMPORTRANGE(""https://docs.google.com/spreadsheets/d/1uOzBKYgpuhMUe0xXQLXSct3xZ80hakAMJHdG"&amp;"Jh9616E/edit?usp=sharing"",""รวมใต้!J421"")"),1740)</f>
        <v>1740</v>
      </c>
      <c r="K432" s="199">
        <f t="shared" ca="1" si="125"/>
        <v>89.276552077988711</v>
      </c>
      <c r="L432" s="180"/>
      <c r="M432" s="180"/>
      <c r="N432" s="180"/>
      <c r="O432" s="180"/>
      <c r="P432" s="180"/>
    </row>
    <row r="433" spans="1:16" ht="21.75" customHeight="1" x14ac:dyDescent="0.4">
      <c r="A433" s="174"/>
      <c r="B433" s="175"/>
      <c r="C433" s="175"/>
      <c r="D433" s="192"/>
      <c r="E433" s="196"/>
      <c r="F433" s="194"/>
      <c r="G433" s="195"/>
      <c r="H433" s="197" t="s">
        <v>121</v>
      </c>
      <c r="I433" s="394">
        <f ca="1">IFERROR(__xludf.DUMMYFUNCTION("IMPORTRANGE(""https://docs.google.com/spreadsheets/d/1yGy89TWty5kAjAO5OL1fLLQ_DL8fVJHFf2LvMm8qymA/edit?usp=sharing"",""รวมเหนือ!I422"")+IMPORTRANGE(""https://docs.google.com/spreadsheets/d/1bWGR5Y7oTgtZIep2hLdTHG-chM0w9aHBSSpJHwm6lak/edit?usp=sharing"","""&amp;"รวมตะวันออกเฉียงเหนือ!I422"")+IMPORTRANGE(""https://docs.google.com/spreadsheets/d/1dCxWUCc_SKNp-qd8qsaa5pPX_-BuQqWJ_-8FnsS4Ki0/edit?usp=sharing"",""รวมกลาง!I422"")+IMPORTRANGE(""https://docs.google.com/spreadsheets/d/1uOzBKYgpuhMUe0xXQLXSct3xZ80hakAMJHdG"&amp;"Jh9616E/edit?usp=sharing"",""รวมใต้!I422"")"),5847)</f>
        <v>5847</v>
      </c>
      <c r="J433" s="395">
        <f ca="1">IFERROR(__xludf.DUMMYFUNCTION("IMPORTRANGE(""https://docs.google.com/spreadsheets/d/1yGy89TWty5kAjAO5OL1fLLQ_DL8fVJHFf2LvMm8qymA/edit?usp=sharing"",""รวมเหนือ!J422"")+IMPORTRANGE(""https://docs.google.com/spreadsheets/d/1bWGR5Y7oTgtZIep2hLdTHG-chM0w9aHBSSpJHwm6lak/edit?usp=sharing"","""&amp;"รวมตะวันออกเฉียงเหนือ!J422"")+IMPORTRANGE(""https://docs.google.com/spreadsheets/d/1dCxWUCc_SKNp-qd8qsaa5pPX_-BuQqWJ_-8FnsS4Ki0/edit?usp=sharing"",""รวมกลาง!J422"")+IMPORTRANGE(""https://docs.google.com/spreadsheets/d/1uOzBKYgpuhMUe0xXQLXSct3xZ80hakAMJHdG"&amp;"Jh9616E/edit?usp=sharing"",""รวมใต้!J422"")"),4590)</f>
        <v>4590</v>
      </c>
      <c r="K433" s="199">
        <f t="shared" ca="1" si="125"/>
        <v>78.501795792714219</v>
      </c>
      <c r="L433" s="180"/>
      <c r="M433" s="180"/>
      <c r="N433" s="180"/>
      <c r="O433" s="180"/>
      <c r="P433" s="180"/>
    </row>
    <row r="434" spans="1:16" ht="21.75" customHeight="1" x14ac:dyDescent="0.4">
      <c r="A434" s="174"/>
      <c r="B434" s="175"/>
      <c r="C434" s="175"/>
      <c r="D434" s="192"/>
      <c r="E434" s="196"/>
      <c r="F434" s="194"/>
      <c r="G434" s="288" t="s">
        <v>150</v>
      </c>
      <c r="H434" s="179" t="s">
        <v>37</v>
      </c>
      <c r="I434" s="340">
        <f ca="1">IFERROR(__xludf.DUMMYFUNCTION("IMPORTRANGE(""https://docs.google.com/spreadsheets/d/1yGy89TWty5kAjAO5OL1fLLQ_DL8fVJHFf2LvMm8qymA/edit?usp=sharing"",""รวมเหนือ!I423"")+IMPORTRANGE(""https://docs.google.com/spreadsheets/d/1bWGR5Y7oTgtZIep2hLdTHG-chM0w9aHBSSpJHwm6lak/edit?usp=sharing"","""&amp;"รวมตะวันออกเฉียงเหนือ!I423"")+IMPORTRANGE(""https://docs.google.com/spreadsheets/d/1dCxWUCc_SKNp-qd8qsaa5pPX_-BuQqWJ_-8FnsS4Ki0/edit?usp=sharing"",""รวมกลาง!I423"")+IMPORTRANGE(""https://docs.google.com/spreadsheets/d/1uOzBKYgpuhMUe0xXQLXSct3xZ80hakAMJHdG"&amp;"Jh9616E/edit?usp=sharing"",""รวมใต้!I423"")"),1949)</f>
        <v>1949</v>
      </c>
      <c r="J434" s="396">
        <f ca="1">IFERROR(__xludf.DUMMYFUNCTION("IMPORTRANGE(""https://docs.google.com/spreadsheets/d/1yGy89TWty5kAjAO5OL1fLLQ_DL8fVJHFf2LvMm8qymA/edit?usp=sharing"",""รวมเหนือ!J423"")+IMPORTRANGE(""https://docs.google.com/spreadsheets/d/1bWGR5Y7oTgtZIep2hLdTHG-chM0w9aHBSSpJHwm6lak/edit?usp=sharing"","""&amp;"รวมตะวันออกเฉียงเหนือ!J423"")+IMPORTRANGE(""https://docs.google.com/spreadsheets/d/1dCxWUCc_SKNp-qd8qsaa5pPX_-BuQqWJ_-8FnsS4Ki0/edit?usp=sharing"",""รวมกลาง!J423"")+IMPORTRANGE(""https://docs.google.com/spreadsheets/d/1uOzBKYgpuhMUe0xXQLXSct3xZ80hakAMJHdG"&amp;"Jh9616E/edit?usp=sharing"",""รวมใต้!J423"")"),1904)</f>
        <v>1904</v>
      </c>
      <c r="K434" s="163">
        <f t="shared" ca="1" si="125"/>
        <v>97.691123653155458</v>
      </c>
      <c r="L434" s="180"/>
      <c r="M434" s="180"/>
      <c r="N434" s="180"/>
      <c r="O434" s="180"/>
      <c r="P434" s="180"/>
    </row>
    <row r="435" spans="1:16" ht="21.75" customHeight="1" x14ac:dyDescent="0.4">
      <c r="A435" s="174"/>
      <c r="B435" s="175"/>
      <c r="C435" s="175"/>
      <c r="D435" s="192"/>
      <c r="E435" s="196"/>
      <c r="F435" s="194"/>
      <c r="G435" s="288" t="s">
        <v>151</v>
      </c>
      <c r="H435" s="179" t="s">
        <v>37</v>
      </c>
      <c r="I435" s="340">
        <f ca="1">IFERROR(__xludf.DUMMYFUNCTION("IMPORTRANGE(""https://docs.google.com/spreadsheets/d/1yGy89TWty5kAjAO5OL1fLLQ_DL8fVJHFf2LvMm8qymA/edit?usp=sharing"",""รวมเหนือ!I424"")+IMPORTRANGE(""https://docs.google.com/spreadsheets/d/1bWGR5Y7oTgtZIep2hLdTHG-chM0w9aHBSSpJHwm6lak/edit?usp=sharing"","""&amp;"รวมตะวันออกเฉียงเหนือ!I424"")+IMPORTRANGE(""https://docs.google.com/spreadsheets/d/1dCxWUCc_SKNp-qd8qsaa5pPX_-BuQqWJ_-8FnsS4Ki0/edit?usp=sharing"",""รวมกลาง!I424"")+IMPORTRANGE(""https://docs.google.com/spreadsheets/d/1uOzBKYgpuhMUe0xXQLXSct3xZ80hakAMJHdG"&amp;"Jh9616E/edit?usp=sharing"",""รวมใต้!I424"")"),1949)</f>
        <v>1949</v>
      </c>
      <c r="J435" s="396">
        <f ca="1">IFERROR(__xludf.DUMMYFUNCTION("IMPORTRANGE(""https://docs.google.com/spreadsheets/d/1yGy89TWty5kAjAO5OL1fLLQ_DL8fVJHFf2LvMm8qymA/edit?usp=sharing"",""รวมเหนือ!J424"")+IMPORTRANGE(""https://docs.google.com/spreadsheets/d/1bWGR5Y7oTgtZIep2hLdTHG-chM0w9aHBSSpJHwm6lak/edit?usp=sharing"","""&amp;"รวมตะวันออกเฉียงเหนือ!J424"")+IMPORTRANGE(""https://docs.google.com/spreadsheets/d/1dCxWUCc_SKNp-qd8qsaa5pPX_-BuQqWJ_-8FnsS4Ki0/edit?usp=sharing"",""รวมกลาง!J424"")+IMPORTRANGE(""https://docs.google.com/spreadsheets/d/1uOzBKYgpuhMUe0xXQLXSct3xZ80hakAMJHdG"&amp;"Jh9616E/edit?usp=sharing"",""รวมใต้!J424"")"),1790)</f>
        <v>1790</v>
      </c>
      <c r="K435" s="163">
        <f t="shared" ca="1" si="125"/>
        <v>91.841970241149312</v>
      </c>
      <c r="L435" s="180"/>
      <c r="M435" s="180"/>
      <c r="N435" s="180"/>
      <c r="O435" s="180"/>
      <c r="P435" s="180"/>
    </row>
    <row r="436" spans="1:16" ht="21.75" customHeight="1" x14ac:dyDescent="0.4">
      <c r="A436" s="174"/>
      <c r="B436" s="175"/>
      <c r="C436" s="175"/>
      <c r="D436" s="192"/>
      <c r="E436" s="196"/>
      <c r="F436" s="194"/>
      <c r="G436" s="288" t="s">
        <v>152</v>
      </c>
      <c r="H436" s="179" t="s">
        <v>37</v>
      </c>
      <c r="I436" s="340">
        <f ca="1">IFERROR(__xludf.DUMMYFUNCTION("IMPORTRANGE(""https://docs.google.com/spreadsheets/d/1yGy89TWty5kAjAO5OL1fLLQ_DL8fVJHFf2LvMm8qymA/edit?usp=sharing"",""รวมเหนือ!I425"")+IMPORTRANGE(""https://docs.google.com/spreadsheets/d/1bWGR5Y7oTgtZIep2hLdTHG-chM0w9aHBSSpJHwm6lak/edit?usp=sharing"","""&amp;"รวมตะวันออกเฉียงเหนือ!I425"")+IMPORTRANGE(""https://docs.google.com/spreadsheets/d/1dCxWUCc_SKNp-qd8qsaa5pPX_-BuQqWJ_-8FnsS4Ki0/edit?usp=sharing"",""รวมกลาง!I425"")+IMPORTRANGE(""https://docs.google.com/spreadsheets/d/1uOzBKYgpuhMUe0xXQLXSct3xZ80hakAMJHdG"&amp;"Jh9616E/edit?usp=sharing"",""รวมใต้!I425"")"),1949)</f>
        <v>1949</v>
      </c>
      <c r="J436" s="396">
        <f ca="1">IFERROR(__xludf.DUMMYFUNCTION("IMPORTRANGE(""https://docs.google.com/spreadsheets/d/1yGy89TWty5kAjAO5OL1fLLQ_DL8fVJHFf2LvMm8qymA/edit?usp=sharing"",""รวมเหนือ!J425"")+IMPORTRANGE(""https://docs.google.com/spreadsheets/d/1bWGR5Y7oTgtZIep2hLdTHG-chM0w9aHBSSpJHwm6lak/edit?usp=sharing"","""&amp;"รวมตะวันออกเฉียงเหนือ!J425"")+IMPORTRANGE(""https://docs.google.com/spreadsheets/d/1dCxWUCc_SKNp-qd8qsaa5pPX_-BuQqWJ_-8FnsS4Ki0/edit?usp=sharing"",""รวมกลาง!J425"")+IMPORTRANGE(""https://docs.google.com/spreadsheets/d/1uOzBKYgpuhMUe0xXQLXSct3xZ80hakAMJHdG"&amp;"Jh9616E/edit?usp=sharing"",""รวมใต้!J425"")"),1740)</f>
        <v>1740</v>
      </c>
      <c r="K436" s="163">
        <f t="shared" ca="1" si="125"/>
        <v>89.276552077988711</v>
      </c>
      <c r="L436" s="180"/>
      <c r="M436" s="180"/>
      <c r="N436" s="180"/>
      <c r="O436" s="180"/>
      <c r="P436" s="180"/>
    </row>
    <row r="437" spans="1:16" ht="21.75" customHeight="1" x14ac:dyDescent="0.4">
      <c r="A437" s="174"/>
      <c r="B437" s="175"/>
      <c r="C437" s="175"/>
      <c r="D437" s="192"/>
      <c r="E437" s="196"/>
      <c r="F437" s="401" t="s">
        <v>153</v>
      </c>
      <c r="G437" s="195"/>
      <c r="H437" s="197" t="s">
        <v>37</v>
      </c>
      <c r="I437" s="394">
        <f ca="1">IFERROR(__xludf.DUMMYFUNCTION("IMPORTRANGE(""https://docs.google.com/spreadsheets/d/1yGy89TWty5kAjAO5OL1fLLQ_DL8fVJHFf2LvMm8qymA/edit?usp=sharing"",""รวมเหนือ!I426"")+IMPORTRANGE(""https://docs.google.com/spreadsheets/d/1bWGR5Y7oTgtZIep2hLdTHG-chM0w9aHBSSpJHwm6lak/edit?usp=sharing"","""&amp;"รวมตะวันออกเฉียงเหนือ!I426"")+IMPORTRANGE(""https://docs.google.com/spreadsheets/d/1dCxWUCc_SKNp-qd8qsaa5pPX_-BuQqWJ_-8FnsS4Ki0/edit?usp=sharing"",""รวมกลาง!I426"")+IMPORTRANGE(""https://docs.google.com/spreadsheets/d/1uOzBKYgpuhMUe0xXQLXSct3xZ80hakAMJHdG"&amp;"Jh9616E/edit?usp=sharing"",""รวมใต้!I426"")"),808)</f>
        <v>808</v>
      </c>
      <c r="J437" s="402">
        <f ca="1">IFERROR(__xludf.DUMMYFUNCTION("IMPORTRANGE(""https://docs.google.com/spreadsheets/d/1yGy89TWty5kAjAO5OL1fLLQ_DL8fVJHFf2LvMm8qymA/edit?usp=sharing"",""รวมเหนือ!J426"")+IMPORTRANGE(""https://docs.google.com/spreadsheets/d/1bWGR5Y7oTgtZIep2hLdTHG-chM0w9aHBSSpJHwm6lak/edit?usp=sharing"","""&amp;"รวมตะวันออกเฉียงเหนือ!J426"")+IMPORTRANGE(""https://docs.google.com/spreadsheets/d/1dCxWUCc_SKNp-qd8qsaa5pPX_-BuQqWJ_-8FnsS4Ki0/edit?usp=sharing"",""รวมกลาง!J426"")+IMPORTRANGE(""https://docs.google.com/spreadsheets/d/1uOzBKYgpuhMUe0xXQLXSct3xZ80hakAMJHdG"&amp;"Jh9616E/edit?usp=sharing"",""รวมใต้!J426"")"),684)</f>
        <v>684</v>
      </c>
      <c r="K437" s="199">
        <f t="shared" ca="1" si="125"/>
        <v>84.653465346534659</v>
      </c>
      <c r="L437" s="180"/>
      <c r="M437" s="180"/>
      <c r="N437" s="180"/>
      <c r="O437" s="180"/>
      <c r="P437" s="180"/>
    </row>
    <row r="438" spans="1:16" ht="21.75" customHeight="1" x14ac:dyDescent="0.4">
      <c r="A438" s="174"/>
      <c r="B438" s="175"/>
      <c r="C438" s="175"/>
      <c r="D438" s="192"/>
      <c r="E438" s="196"/>
      <c r="F438" s="194"/>
      <c r="G438" s="195"/>
      <c r="H438" s="197" t="s">
        <v>121</v>
      </c>
      <c r="I438" s="394">
        <f ca="1">IFERROR(__xludf.DUMMYFUNCTION("IMPORTRANGE(""https://docs.google.com/spreadsheets/d/1yGy89TWty5kAjAO5OL1fLLQ_DL8fVJHFf2LvMm8qymA/edit?usp=sharing"",""รวมเหนือ!I427"")+IMPORTRANGE(""https://docs.google.com/spreadsheets/d/1bWGR5Y7oTgtZIep2hLdTHG-chM0w9aHBSSpJHwm6lak/edit?usp=sharing"","""&amp;"รวมตะวันออกเฉียงเหนือ!I427"")+IMPORTRANGE(""https://docs.google.com/spreadsheets/d/1dCxWUCc_SKNp-qd8qsaa5pPX_-BuQqWJ_-8FnsS4Ki0/edit?usp=sharing"",""รวมกลาง!I427"")+IMPORTRANGE(""https://docs.google.com/spreadsheets/d/1uOzBKYgpuhMUe0xXQLXSct3xZ80hakAMJHdG"&amp;"Jh9616E/edit?usp=sharing"",""รวมใต้!I427"")"),2424)</f>
        <v>2424</v>
      </c>
      <c r="J438" s="395">
        <f ca="1">IFERROR(__xludf.DUMMYFUNCTION("IMPORTRANGE(""https://docs.google.com/spreadsheets/d/1yGy89TWty5kAjAO5OL1fLLQ_DL8fVJHFf2LvMm8qymA/edit?usp=sharing"",""รวมเหนือ!J427"")+IMPORTRANGE(""https://docs.google.com/spreadsheets/d/1bWGR5Y7oTgtZIep2hLdTHG-chM0w9aHBSSpJHwm6lak/edit?usp=sharing"","""&amp;"รวมตะวันออกเฉียงเหนือ!J427"")+IMPORTRANGE(""https://docs.google.com/spreadsheets/d/1dCxWUCc_SKNp-qd8qsaa5pPX_-BuQqWJ_-8FnsS4Ki0/edit?usp=sharing"",""รวมกลาง!J427"")+IMPORTRANGE(""https://docs.google.com/spreadsheets/d/1uOzBKYgpuhMUe0xXQLXSct3xZ80hakAMJHdG"&amp;"Jh9616E/edit?usp=sharing"",""รวมใต้!J427"")"),1737)</f>
        <v>1737</v>
      </c>
      <c r="K438" s="199">
        <f t="shared" ca="1" si="125"/>
        <v>71.658415841584159</v>
      </c>
      <c r="L438" s="180"/>
      <c r="M438" s="180"/>
      <c r="N438" s="180"/>
      <c r="O438" s="180"/>
      <c r="P438" s="180"/>
    </row>
    <row r="439" spans="1:16" ht="21.75" customHeight="1" x14ac:dyDescent="0.4">
      <c r="A439" s="174"/>
      <c r="B439" s="175"/>
      <c r="C439" s="175"/>
      <c r="D439" s="192"/>
      <c r="E439" s="196"/>
      <c r="F439" s="194"/>
      <c r="G439" s="288" t="s">
        <v>154</v>
      </c>
      <c r="H439" s="179" t="s">
        <v>37</v>
      </c>
      <c r="I439" s="403">
        <f ca="1">IFERROR(__xludf.DUMMYFUNCTION("IMPORTRANGE(""https://docs.google.com/spreadsheets/d/1yGy89TWty5kAjAO5OL1fLLQ_DL8fVJHFf2LvMm8qymA/edit?usp=sharing"",""รวมเหนือ!I428"")+IMPORTRANGE(""https://docs.google.com/spreadsheets/d/1bWGR5Y7oTgtZIep2hLdTHG-chM0w9aHBSSpJHwm6lak/edit?usp=sharing"","""&amp;"รวมตะวันออกเฉียงเหนือ!I428"")+IMPORTRANGE(""https://docs.google.com/spreadsheets/d/1dCxWUCc_SKNp-qd8qsaa5pPX_-BuQqWJ_-8FnsS4Ki0/edit?usp=sharing"",""รวมกลาง!I428"")+IMPORTRANGE(""https://docs.google.com/spreadsheets/d/1uOzBKYgpuhMUe0xXQLXSct3xZ80hakAMJHdG"&amp;"Jh9616E/edit?usp=sharing"",""รวมใต้!I428"")"),808)</f>
        <v>808</v>
      </c>
      <c r="J439" s="396">
        <f ca="1">IFERROR(__xludf.DUMMYFUNCTION("IMPORTRANGE(""https://docs.google.com/spreadsheets/d/1yGy89TWty5kAjAO5OL1fLLQ_DL8fVJHFf2LvMm8qymA/edit?usp=sharing"",""รวมเหนือ!J428"")+IMPORTRANGE(""https://docs.google.com/spreadsheets/d/1bWGR5Y7oTgtZIep2hLdTHG-chM0w9aHBSSpJHwm6lak/edit?usp=sharing"","""&amp;"รวมตะวันออกเฉียงเหนือ!J428"")+IMPORTRANGE(""https://docs.google.com/spreadsheets/d/1dCxWUCc_SKNp-qd8qsaa5pPX_-BuQqWJ_-8FnsS4Ki0/edit?usp=sharing"",""รวมกลาง!J428"")+IMPORTRANGE(""https://docs.google.com/spreadsheets/d/1uOzBKYgpuhMUe0xXQLXSct3xZ80hakAMJHdG"&amp;"Jh9616E/edit?usp=sharing"",""รวมใต้!J428"")"),724)</f>
        <v>724</v>
      </c>
      <c r="K439" s="163">
        <f t="shared" ca="1" si="125"/>
        <v>89.603960396039611</v>
      </c>
      <c r="L439" s="180"/>
      <c r="M439" s="180"/>
      <c r="N439" s="180"/>
      <c r="O439" s="180"/>
      <c r="P439" s="180"/>
    </row>
    <row r="440" spans="1:16" ht="21.75" customHeight="1" x14ac:dyDescent="0.4">
      <c r="A440" s="174"/>
      <c r="B440" s="175"/>
      <c r="C440" s="175"/>
      <c r="D440" s="192"/>
      <c r="E440" s="196"/>
      <c r="F440" s="194"/>
      <c r="G440" s="288" t="s">
        <v>155</v>
      </c>
      <c r="H440" s="179" t="s">
        <v>37</v>
      </c>
      <c r="I440" s="403">
        <f ca="1">IFERROR(__xludf.DUMMYFUNCTION("IMPORTRANGE(""https://docs.google.com/spreadsheets/d/1yGy89TWty5kAjAO5OL1fLLQ_DL8fVJHFf2LvMm8qymA/edit?usp=sharing"",""รวมเหนือ!I429"")+IMPORTRANGE(""https://docs.google.com/spreadsheets/d/1bWGR5Y7oTgtZIep2hLdTHG-chM0w9aHBSSpJHwm6lak/edit?usp=sharing"","""&amp;"รวมตะวันออกเฉียงเหนือ!I429"")+IMPORTRANGE(""https://docs.google.com/spreadsheets/d/1dCxWUCc_SKNp-qd8qsaa5pPX_-BuQqWJ_-8FnsS4Ki0/edit?usp=sharing"",""รวมกลาง!I429"")+IMPORTRANGE(""https://docs.google.com/spreadsheets/d/1uOzBKYgpuhMUe0xXQLXSct3xZ80hakAMJHdG"&amp;"Jh9616E/edit?usp=sharing"",""รวมใต้!I429"")"),808)</f>
        <v>808</v>
      </c>
      <c r="J440" s="396">
        <f ca="1">IFERROR(__xludf.DUMMYFUNCTION("IMPORTRANGE(""https://docs.google.com/spreadsheets/d/1yGy89TWty5kAjAO5OL1fLLQ_DL8fVJHFf2LvMm8qymA/edit?usp=sharing"",""รวมเหนือ!J429"")+IMPORTRANGE(""https://docs.google.com/spreadsheets/d/1bWGR5Y7oTgtZIep2hLdTHG-chM0w9aHBSSpJHwm6lak/edit?usp=sharing"","""&amp;"รวมตะวันออกเฉียงเหนือ!J429"")+IMPORTRANGE(""https://docs.google.com/spreadsheets/d/1dCxWUCc_SKNp-qd8qsaa5pPX_-BuQqWJ_-8FnsS4Ki0/edit?usp=sharing"",""รวมกลาง!J429"")+IMPORTRANGE(""https://docs.google.com/spreadsheets/d/1uOzBKYgpuhMUe0xXQLXSct3xZ80hakAMJHdG"&amp;"Jh9616E/edit?usp=sharing"",""รวมใต้!J429"")"),700)</f>
        <v>700</v>
      </c>
      <c r="K440" s="163">
        <f t="shared" ca="1" si="125"/>
        <v>86.633663366336634</v>
      </c>
      <c r="L440" s="180"/>
      <c r="M440" s="180"/>
      <c r="N440" s="180"/>
      <c r="O440" s="180"/>
      <c r="P440" s="180"/>
    </row>
    <row r="441" spans="1:16" ht="21.75" customHeight="1" x14ac:dyDescent="0.4">
      <c r="A441" s="174"/>
      <c r="B441" s="175"/>
      <c r="C441" s="175"/>
      <c r="D441" s="192"/>
      <c r="E441" s="196"/>
      <c r="F441" s="193" t="s">
        <v>50</v>
      </c>
      <c r="G441" s="391"/>
      <c r="H441" s="404" t="s">
        <v>37</v>
      </c>
      <c r="I441" s="198">
        <f ca="1">IFERROR(__xludf.DUMMYFUNCTION("IMPORTRANGE(""https://docs.google.com/spreadsheets/d/1yGy89TWty5kAjAO5OL1fLLQ_DL8fVJHFf2LvMm8qymA/edit?usp=sharing"",""รวมเหนือ!I430"")+IMPORTRANGE(""https://docs.google.com/spreadsheets/d/1bWGR5Y7oTgtZIep2hLdTHG-chM0w9aHBSSpJHwm6lak/edit?usp=sharing"","""&amp;"รวมตะวันออกเฉียงเหนือ!I430"")+IMPORTRANGE(""https://docs.google.com/spreadsheets/d/1dCxWUCc_SKNp-qd8qsaa5pPX_-BuQqWJ_-8FnsS4Ki0/edit?usp=sharing"",""รวมกลาง!I430"")+IMPORTRANGE(""https://docs.google.com/spreadsheets/d/1uOzBKYgpuhMUe0xXQLXSct3xZ80hakAMJHdG"&amp;"Jh9616E/edit?usp=sharing"",""รวมใต้!I430"")"),2792)</f>
        <v>2792</v>
      </c>
      <c r="J441" s="395">
        <f ca="1">IFERROR(__xludf.DUMMYFUNCTION("IMPORTRANGE(""https://docs.google.com/spreadsheets/d/1yGy89TWty5kAjAO5OL1fLLQ_DL8fVJHFf2LvMm8qymA/edit?usp=sharing"",""รวมเหนือ!J430"")+IMPORTRANGE(""https://docs.google.com/spreadsheets/d/1bWGR5Y7oTgtZIep2hLdTHG-chM0w9aHBSSpJHwm6lak/edit?usp=sharing"","""&amp;"รวมตะวันออกเฉียงเหนือ!J430"")+IMPORTRANGE(""https://docs.google.com/spreadsheets/d/1dCxWUCc_SKNp-qd8qsaa5pPX_-BuQqWJ_-8FnsS4Ki0/edit?usp=sharing"",""รวมกลาง!J430"")+IMPORTRANGE(""https://docs.google.com/spreadsheets/d/1uOzBKYgpuhMUe0xXQLXSct3xZ80hakAMJHdG"&amp;"Jh9616E/edit?usp=sharing"",""รวมใต้!J430"")"),617)</f>
        <v>617</v>
      </c>
      <c r="K441" s="199">
        <f t="shared" ca="1" si="125"/>
        <v>22.098853868194844</v>
      </c>
      <c r="L441" s="180"/>
      <c r="M441" s="180"/>
      <c r="N441" s="180"/>
      <c r="O441" s="180"/>
      <c r="P441" s="180"/>
    </row>
    <row r="442" spans="1:16" ht="21.75" customHeight="1" x14ac:dyDescent="0.4">
      <c r="A442" s="405"/>
      <c r="B442" s="406"/>
      <c r="C442" s="406"/>
      <c r="D442" s="407"/>
      <c r="E442" s="196"/>
      <c r="F442" s="194"/>
      <c r="G442" s="288" t="s">
        <v>156</v>
      </c>
      <c r="H442" s="179" t="s">
        <v>37</v>
      </c>
      <c r="I442" s="403">
        <f ca="1">IFERROR(__xludf.DUMMYFUNCTION("IMPORTRANGE(""https://docs.google.com/spreadsheets/d/1yGy89TWty5kAjAO5OL1fLLQ_DL8fVJHFf2LvMm8qymA/edit?usp=sharing"",""รวมเหนือ!I431"")+IMPORTRANGE(""https://docs.google.com/spreadsheets/d/1bWGR5Y7oTgtZIep2hLdTHG-chM0w9aHBSSpJHwm6lak/edit?usp=sharing"","""&amp;"รวมตะวันออกเฉียงเหนือ!I431"")+IMPORTRANGE(""https://docs.google.com/spreadsheets/d/1dCxWUCc_SKNp-qd8qsaa5pPX_-BuQqWJ_-8FnsS4Ki0/edit?usp=sharing"",""รวมกลาง!I431"")+IMPORTRANGE(""https://docs.google.com/spreadsheets/d/1uOzBKYgpuhMUe0xXQLXSct3xZ80hakAMJHdG"&amp;"Jh9616E/edit?usp=sharing"",""รวมใต้!I431"")"),843)</f>
        <v>843</v>
      </c>
      <c r="J442" s="396">
        <f ca="1">IFERROR(__xludf.DUMMYFUNCTION("IMPORTRANGE(""https://docs.google.com/spreadsheets/d/1yGy89TWty5kAjAO5OL1fLLQ_DL8fVJHFf2LvMm8qymA/edit?usp=sharing"",""รวมเหนือ!J431"")+IMPORTRANGE(""https://docs.google.com/spreadsheets/d/1bWGR5Y7oTgtZIep2hLdTHG-chM0w9aHBSSpJHwm6lak/edit?usp=sharing"","""&amp;"รวมตะวันออกเฉียงเหนือ!J431"")+IMPORTRANGE(""https://docs.google.com/spreadsheets/d/1dCxWUCc_SKNp-qd8qsaa5pPX_-BuQqWJ_-8FnsS4Ki0/edit?usp=sharing"",""รวมกลาง!J431"")+IMPORTRANGE(""https://docs.google.com/spreadsheets/d/1uOzBKYgpuhMUe0xXQLXSct3xZ80hakAMJHdG"&amp;"Jh9616E/edit?usp=sharing"",""รวมใต้!J431"")"),270)</f>
        <v>270</v>
      </c>
      <c r="K442" s="163">
        <f t="shared" ca="1" si="125"/>
        <v>32.028469750889677</v>
      </c>
      <c r="L442" s="180"/>
      <c r="M442" s="180"/>
      <c r="N442" s="180"/>
      <c r="O442" s="180"/>
      <c r="P442" s="180"/>
    </row>
    <row r="443" spans="1:16" ht="21.75" customHeight="1" x14ac:dyDescent="0.4">
      <c r="A443" s="405"/>
      <c r="B443" s="406"/>
      <c r="C443" s="406"/>
      <c r="D443" s="407"/>
      <c r="E443" s="196"/>
      <c r="F443" s="194"/>
      <c r="G443" s="288" t="s">
        <v>157</v>
      </c>
      <c r="H443" s="179" t="s">
        <v>37</v>
      </c>
      <c r="I443" s="403">
        <f ca="1">IFERROR(__xludf.DUMMYFUNCTION("IMPORTRANGE(""https://docs.google.com/spreadsheets/d/1yGy89TWty5kAjAO5OL1fLLQ_DL8fVJHFf2LvMm8qymA/edit?usp=sharing"",""รวมเหนือ!I432"")+IMPORTRANGE(""https://docs.google.com/spreadsheets/d/1bWGR5Y7oTgtZIep2hLdTHG-chM0w9aHBSSpJHwm6lak/edit?usp=sharing"","""&amp;"รวมตะวันออกเฉียงเหนือ!I432"")+IMPORTRANGE(""https://docs.google.com/spreadsheets/d/1dCxWUCc_SKNp-qd8qsaa5pPX_-BuQqWJ_-8FnsS4Ki0/edit?usp=sharing"",""รวมกลาง!I432"")+IMPORTRANGE(""https://docs.google.com/spreadsheets/d/1uOzBKYgpuhMUe0xXQLXSct3xZ80hakAMJHdG"&amp;"Jh9616E/edit?usp=sharing"",""รวมใต้!I432"")"),1949)</f>
        <v>1949</v>
      </c>
      <c r="J443" s="396">
        <f ca="1">IFERROR(__xludf.DUMMYFUNCTION("IMPORTRANGE(""https://docs.google.com/spreadsheets/d/1yGy89TWty5kAjAO5OL1fLLQ_DL8fVJHFf2LvMm8qymA/edit?usp=sharing"",""รวมเหนือ!J432"")+IMPORTRANGE(""https://docs.google.com/spreadsheets/d/1bWGR5Y7oTgtZIep2hLdTHG-chM0w9aHBSSpJHwm6lak/edit?usp=sharing"","""&amp;"รวมตะวันออกเฉียงเหนือ!J432"")+IMPORTRANGE(""https://docs.google.com/spreadsheets/d/1dCxWUCc_SKNp-qd8qsaa5pPX_-BuQqWJ_-8FnsS4Ki0/edit?usp=sharing"",""รวมกลาง!J432"")+IMPORTRANGE(""https://docs.google.com/spreadsheets/d/1uOzBKYgpuhMUe0xXQLXSct3xZ80hakAMJHdG"&amp;"Jh9616E/edit?usp=sharing"",""รวมใต้!J432"")"),568)</f>
        <v>568</v>
      </c>
      <c r="K443" s="163">
        <f t="shared" ca="1" si="125"/>
        <v>29.143150333504362</v>
      </c>
      <c r="L443" s="180"/>
      <c r="M443" s="180"/>
      <c r="N443" s="180"/>
      <c r="O443" s="180"/>
      <c r="P443" s="180"/>
    </row>
    <row r="444" spans="1:16" ht="21.75" customHeight="1" x14ac:dyDescent="0.3">
      <c r="A444" s="174"/>
      <c r="B444" s="175"/>
      <c r="C444" s="175"/>
      <c r="D444" s="192"/>
      <c r="E444" s="193" t="s">
        <v>51</v>
      </c>
      <c r="F444" s="194"/>
      <c r="G444" s="195"/>
      <c r="H444" s="185"/>
      <c r="I444" s="186"/>
      <c r="J444" s="186">
        <f ca="1">IFERROR(__xludf.DUMMYFUNCTION("IMPORTRANGE(""https://docs.google.com/spreadsheets/d/1yGy89TWty5kAjAO5OL1fLLQ_DL8fVJHFf2LvMm8qymA/edit?usp=sharing"",""รวมเหนือ!J433"")+IMPORTRANGE(""https://docs.google.com/spreadsheets/d/1bWGR5Y7oTgtZIep2hLdTHG-chM0w9aHBSSpJHwm6lak/edit?usp=sharing"","""&amp;"รวมตะวันออกเฉียงเหนือ!J433"")+IMPORTRANGE(""https://docs.google.com/spreadsheets/d/1dCxWUCc_SKNp-qd8qsaa5pPX_-BuQqWJ_-8FnsS4Ki0/edit?usp=sharing"",""รวมกลาง!J433"")+IMPORTRANGE(""https://docs.google.com/spreadsheets/d/1uOzBKYgpuhMUe0xXQLXSct3xZ80hakAMJHdG"&amp;"Jh9616E/edit?usp=sharing"",""รวมใต้!J433"")"),2)</f>
        <v>2</v>
      </c>
      <c r="K444" s="163"/>
      <c r="L444" s="180"/>
      <c r="M444" s="180"/>
      <c r="N444" s="180"/>
      <c r="O444" s="180"/>
      <c r="P444" s="180"/>
    </row>
    <row r="445" spans="1:16" ht="21.75" customHeight="1" x14ac:dyDescent="0.3">
      <c r="A445" s="174"/>
      <c r="B445" s="175"/>
      <c r="C445" s="175"/>
      <c r="D445" s="202">
        <v>3</v>
      </c>
      <c r="E445" s="203" t="s">
        <v>52</v>
      </c>
      <c r="F445" s="204"/>
      <c r="G445" s="205"/>
      <c r="H445" s="185"/>
      <c r="I445" s="186"/>
      <c r="J445" s="206">
        <f ca="1">IFERROR(__xludf.DUMMYFUNCTION("IMPORTRANGE(""https://docs.google.com/spreadsheets/d/1yGy89TWty5kAjAO5OL1fLLQ_DL8fVJHFf2LvMm8qymA/edit?usp=sharing"",""รวมเหนือ!J434"")+IMPORTRANGE(""https://docs.google.com/spreadsheets/d/1bWGR5Y7oTgtZIep2hLdTHG-chM0w9aHBSSpJHwm6lak/edit?usp=sharing"","""&amp;"รวมตะวันออกเฉียงเหนือ!J434"")+IMPORTRANGE(""https://docs.google.com/spreadsheets/d/1dCxWUCc_SKNp-qd8qsaa5pPX_-BuQqWJ_-8FnsS4Ki0/edit?usp=sharing"",""รวมกลาง!J434"")+IMPORTRANGE(""https://docs.google.com/spreadsheets/d/1uOzBKYgpuhMUe0xXQLXSct3xZ80hakAMJHdG"&amp;"Jh9616E/edit?usp=sharing"",""รวมใต้!J434"")"),0)</f>
        <v>0</v>
      </c>
      <c r="K445" s="163"/>
      <c r="L445" s="180"/>
      <c r="M445" s="180"/>
      <c r="N445" s="180"/>
      <c r="O445" s="180"/>
      <c r="P445" s="180"/>
    </row>
    <row r="446" spans="1:16" ht="21.75" customHeight="1" x14ac:dyDescent="0.3">
      <c r="A446" s="408"/>
      <c r="B446" s="409">
        <v>4</v>
      </c>
      <c r="C446" s="409" t="s">
        <v>158</v>
      </c>
      <c r="D446" s="410"/>
      <c r="E446" s="410"/>
      <c r="F446" s="410"/>
      <c r="G446" s="411"/>
      <c r="H446" s="412" t="s">
        <v>37</v>
      </c>
      <c r="I446" s="413">
        <f t="shared" ref="I446:J446" ca="1" si="126">I460</f>
        <v>2144</v>
      </c>
      <c r="J446" s="413">
        <f t="shared" ca="1" si="126"/>
        <v>2071</v>
      </c>
      <c r="K446" s="414">
        <f ca="1">IF(I446&gt;0,J446*100/I446,0)</f>
        <v>96.59514925373135</v>
      </c>
      <c r="L446" s="415">
        <f ca="1">L447+L448</f>
        <v>10000000</v>
      </c>
      <c r="M446" s="415"/>
      <c r="N446" s="415">
        <f ca="1">N447+N448</f>
        <v>5276577.4699999904</v>
      </c>
      <c r="O446" s="415">
        <f t="shared" ref="O446:O450" ca="1" si="127">+IF(L446&gt;0,N446*100/L446,0)</f>
        <v>52.765774699999902</v>
      </c>
      <c r="P446" s="415"/>
    </row>
    <row r="447" spans="1:16" ht="21.75" customHeight="1" x14ac:dyDescent="0.3">
      <c r="A447" s="158"/>
      <c r="B447" s="159"/>
      <c r="C447" s="159" t="s">
        <v>16</v>
      </c>
      <c r="D447" s="274" t="s">
        <v>75</v>
      </c>
      <c r="E447" s="167"/>
      <c r="F447" s="167"/>
      <c r="G447" s="160" t="s">
        <v>38</v>
      </c>
      <c r="H447" s="168" t="s">
        <v>12</v>
      </c>
      <c r="I447" s="162" t="s">
        <v>39</v>
      </c>
      <c r="J447" s="162"/>
      <c r="K447" s="163"/>
      <c r="L447" s="275">
        <f ca="1">IFERROR(__xludf.DUMMYFUNCTION("IMPORTRANGE(""https://docs.google.com/spreadsheets/d/1muirlRDkqiswvy_NRZ3Yh955hx-PF6_HhssUYiSJj8o/edit?usp=sharing"",""กองทุนส่วนกลาง!S10"")"),1517400)-630000</f>
        <v>887400</v>
      </c>
      <c r="M447" s="275"/>
      <c r="N447" s="276">
        <f ca="1">IFERROR(__xludf.DUMMYFUNCTION("IMPORTRANGE(""https://docs.google.com/spreadsheets/d/1-fhVXPMm30suWK0-eslVgeT9cTVfCsDeUsq7Bk5UZE8/edit?usp=sharing"",""ทั้งประเทศ!M331"")"),228530.9)</f>
        <v>228530.9</v>
      </c>
      <c r="O447" s="276">
        <f t="shared" ca="1" si="127"/>
        <v>25.752862294343025</v>
      </c>
      <c r="P447" s="165"/>
    </row>
    <row r="448" spans="1:16" ht="21.75" customHeight="1" x14ac:dyDescent="0.3">
      <c r="A448" s="158"/>
      <c r="B448" s="159"/>
      <c r="C448" s="159"/>
      <c r="D448" s="166"/>
      <c r="E448" s="167"/>
      <c r="F448" s="167" t="s">
        <v>39</v>
      </c>
      <c r="G448" s="378" t="s">
        <v>159</v>
      </c>
      <c r="H448" s="168" t="s">
        <v>12</v>
      </c>
      <c r="I448" s="162"/>
      <c r="J448" s="162"/>
      <c r="K448" s="163"/>
      <c r="L448" s="276">
        <f ca="1">L449+L450+904000+103000</f>
        <v>9112600</v>
      </c>
      <c r="M448" s="276"/>
      <c r="N448" s="276">
        <f ca="1">N449+N450+103000</f>
        <v>5048046.5699999901</v>
      </c>
      <c r="O448" s="276">
        <f t="shared" ca="1" si="127"/>
        <v>55.396336610846411</v>
      </c>
      <c r="P448" s="165"/>
    </row>
    <row r="449" spans="1:16" ht="21.75" customHeight="1" x14ac:dyDescent="0.4">
      <c r="A449" s="158"/>
      <c r="B449" s="159"/>
      <c r="C449" s="159"/>
      <c r="D449" s="166"/>
      <c r="E449" s="167"/>
      <c r="F449" s="167"/>
      <c r="G449" s="34" t="s">
        <v>21</v>
      </c>
      <c r="H449" s="168" t="s">
        <v>12</v>
      </c>
      <c r="I449" s="162"/>
      <c r="J449" s="162"/>
      <c r="K449" s="163"/>
      <c r="L449" s="165">
        <f ca="1">IFERROR(__xludf.DUMMYFUNCTION("IMPORTRANGE(""https://docs.google.com/spreadsheets/d/1yGy89TWty5kAjAO5OL1fLLQ_DL8fVJHFf2LvMm8qymA/edit?usp=sharing"",""รวมเหนือ!L438"")+IMPORTRANGE(""https://docs.google.com/spreadsheets/d/1bWGR5Y7oTgtZIep2hLdTHG-chM0w9aHBSSpJHwm6lak/edit?usp=sharing"","""&amp;"รวมตะวันออกเฉียงเหนือ!L438"")+IMPORTRANGE(""https://docs.google.com/spreadsheets/d/1dCxWUCc_SKNp-qd8qsaa5pPX_-BuQqWJ_-8FnsS4Ki0/edit?usp=sharing"",""รวมกลาง!L438"")+IMPORTRANGE(""https://docs.google.com/spreadsheets/d/1uOzBKYgpuhMUe0xXQLXSct3xZ80hakAMJHdG"&amp;"Jh9616E/edit?usp=sharing"",""รวมใต้!L438"")"),0)</f>
        <v>0</v>
      </c>
      <c r="M449" s="165"/>
      <c r="N449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49" s="165">
        <f t="shared" ca="1" si="127"/>
        <v>0</v>
      </c>
      <c r="P449" s="165"/>
    </row>
    <row r="450" spans="1:16" ht="21.75" customHeight="1" x14ac:dyDescent="0.4">
      <c r="A450" s="158"/>
      <c r="B450" s="159"/>
      <c r="C450" s="159"/>
      <c r="D450" s="166"/>
      <c r="E450" s="167"/>
      <c r="F450" s="167"/>
      <c r="G450" s="34" t="s">
        <v>22</v>
      </c>
      <c r="H450" s="168" t="s">
        <v>12</v>
      </c>
      <c r="I450" s="162"/>
      <c r="J450" s="162"/>
      <c r="K450" s="163"/>
      <c r="L450" s="165">
        <f ca="1">IFERROR(__xludf.DUMMYFUNCTION("IMPORTRANGE(""https://docs.google.com/spreadsheets/d/1yGy89TWty5kAjAO5OL1fLLQ_DL8fVJHFf2LvMm8qymA/edit?usp=sharing"",""รวมเหนือ!L439"")+IMPORTRANGE(""https://docs.google.com/spreadsheets/d/1bWGR5Y7oTgtZIep2hLdTHG-chM0w9aHBSSpJHwm6lak/edit?usp=sharing"","""&amp;"รวมตะวันออกเฉียงเหนือ!L439"")+IMPORTRANGE(""https://docs.google.com/spreadsheets/d/1dCxWUCc_SKNp-qd8qsaa5pPX_-BuQqWJ_-8FnsS4Ki0/edit?usp=sharing"",""รวมกลาง!L439"")+IMPORTRANGE(""https://docs.google.com/spreadsheets/d/1uOzBKYgpuhMUe0xXQLXSct3xZ80hakAMJHdG"&amp;"Jh9616E/edit?usp=sharing"",""รวมใต้!L439"")"),8105600)</f>
        <v>8105600</v>
      </c>
      <c r="M450" s="165"/>
      <c r="N450" s="165">
        <f ca="1">N451+N452+N453+N454</f>
        <v>4945046.5699999901</v>
      </c>
      <c r="O450" s="165">
        <f t="shared" ca="1" si="127"/>
        <v>61.007779436438881</v>
      </c>
      <c r="P450" s="165"/>
    </row>
    <row r="451" spans="1:16" ht="21.75" customHeight="1" x14ac:dyDescent="0.3">
      <c r="A451" s="375"/>
      <c r="B451" s="376"/>
      <c r="C451" s="159"/>
      <c r="D451" s="377"/>
      <c r="E451" s="167"/>
      <c r="F451" s="167"/>
      <c r="G451" s="378" t="s">
        <v>129</v>
      </c>
      <c r="H451" s="168" t="s">
        <v>12</v>
      </c>
      <c r="I451" s="186"/>
      <c r="J451" s="186"/>
      <c r="K451" s="221"/>
      <c r="L451" s="165"/>
      <c r="M451" s="165"/>
      <c r="N451" s="164">
        <f ca="1">IFERROR(__xludf.DUMMYFUNCTION("IMPORTRANGE(""https://docs.google.com/spreadsheets/d/1yGy89TWty5kAjAO5OL1fLLQ_DL8fVJHFf2LvMm8qymA/edit?usp=sharing"",""รวมเหนือ!N440"")+IMPORTRANGE(""https://docs.google.com/spreadsheets/d/1bWGR5Y7oTgtZIep2hLdTHG-chM0w9aHBSSpJHwm6lak/edit?usp=sharing"","""&amp;"รวมตะวันออกเฉียงเหนือ!N440"")+IMPORTRANGE(""https://docs.google.com/spreadsheets/d/1dCxWUCc_SKNp-qd8qsaa5pPX_-BuQqWJ_-8FnsS4Ki0/edit?usp=sharing"",""รวมกลาง!N440"")+IMPORTRANGE(""https://docs.google.com/spreadsheets/d/1uOzBKYgpuhMUe0xXQLXSct3xZ80hakAMJHdG"&amp;"Jh9616E/edit?usp=sharing"",""รวมใต้!N440"")"),3486831.81)</f>
        <v>3486831.81</v>
      </c>
      <c r="O451" s="165"/>
      <c r="P451" s="165"/>
    </row>
    <row r="452" spans="1:16" ht="21.75" customHeight="1" x14ac:dyDescent="0.3">
      <c r="A452" s="375"/>
      <c r="B452" s="376"/>
      <c r="C452" s="159"/>
      <c r="D452" s="377"/>
      <c r="E452" s="167"/>
      <c r="F452" s="167"/>
      <c r="G452" s="378" t="s">
        <v>130</v>
      </c>
      <c r="H452" s="168" t="s">
        <v>12</v>
      </c>
      <c r="I452" s="186"/>
      <c r="J452" s="186"/>
      <c r="K452" s="221"/>
      <c r="L452" s="165"/>
      <c r="M452" s="165"/>
      <c r="N452" s="164">
        <f ca="1">IFERROR(__xludf.DUMMYFUNCTION("IMPORTRANGE(""https://docs.google.com/spreadsheets/d/1yGy89TWty5kAjAO5OL1fLLQ_DL8fVJHFf2LvMm8qymA/edit?usp=sharing"",""รวมเหนือ!N441"")+IMPORTRANGE(""https://docs.google.com/spreadsheets/d/1bWGR5Y7oTgtZIep2hLdTHG-chM0w9aHBSSpJHwm6lak/edit?usp=sharing"","""&amp;"รวมตะวันออกเฉียงเหนือ!N441"")+IMPORTRANGE(""https://docs.google.com/spreadsheets/d/1dCxWUCc_SKNp-qd8qsaa5pPX_-BuQqWJ_-8FnsS4Ki0/edit?usp=sharing"",""รวมกลาง!N441"")+IMPORTRANGE(""https://docs.google.com/spreadsheets/d/1uOzBKYgpuhMUe0xXQLXSct3xZ80hakAMJHdG"&amp;"Jh9616E/edit?usp=sharing"",""รวมใต้!N441"")"),0)</f>
        <v>0</v>
      </c>
      <c r="O452" s="165"/>
      <c r="P452" s="165"/>
    </row>
    <row r="453" spans="1:16" ht="21.75" customHeight="1" x14ac:dyDescent="0.3">
      <c r="A453" s="375"/>
      <c r="B453" s="376"/>
      <c r="C453" s="159"/>
      <c r="D453" s="377"/>
      <c r="E453" s="167"/>
      <c r="F453" s="167"/>
      <c r="G453" s="378" t="s">
        <v>131</v>
      </c>
      <c r="H453" s="168" t="s">
        <v>12</v>
      </c>
      <c r="I453" s="186"/>
      <c r="J453" s="186"/>
      <c r="K453" s="221"/>
      <c r="L453" s="165"/>
      <c r="M453" s="165"/>
      <c r="N453" s="164">
        <f ca="1">IFERROR(__xludf.DUMMYFUNCTION("IMPORTRANGE(""https://docs.google.com/spreadsheets/d/1yGy89TWty5kAjAO5OL1fLLQ_DL8fVJHFf2LvMm8qymA/edit?usp=sharing"",""รวมเหนือ!N442"")+IMPORTRANGE(""https://docs.google.com/spreadsheets/d/1bWGR5Y7oTgtZIep2hLdTHG-chM0w9aHBSSpJHwm6lak/edit?usp=sharing"","""&amp;"รวมตะวันออกเฉียงเหนือ!N442"")+IMPORTRANGE(""https://docs.google.com/spreadsheets/d/1dCxWUCc_SKNp-qd8qsaa5pPX_-BuQqWJ_-8FnsS4Ki0/edit?usp=sharing"",""รวมกลาง!N442"")+IMPORTRANGE(""https://docs.google.com/spreadsheets/d/1uOzBKYgpuhMUe0xXQLXSct3xZ80hakAMJHdG"&amp;"Jh9616E/edit?usp=sharing"",""รวมใต้!N442"")"),15410)</f>
        <v>15410</v>
      </c>
      <c r="O453" s="165"/>
      <c r="P453" s="165"/>
    </row>
    <row r="454" spans="1:16" ht="21.75" customHeight="1" x14ac:dyDescent="0.3">
      <c r="A454" s="375"/>
      <c r="B454" s="376"/>
      <c r="C454" s="159"/>
      <c r="D454" s="377"/>
      <c r="E454" s="167"/>
      <c r="F454" s="167"/>
      <c r="G454" s="378" t="s">
        <v>132</v>
      </c>
      <c r="H454" s="168" t="s">
        <v>12</v>
      </c>
      <c r="I454" s="186"/>
      <c r="J454" s="186"/>
      <c r="K454" s="221"/>
      <c r="L454" s="165"/>
      <c r="M454" s="165"/>
      <c r="N454" s="164">
        <f ca="1">IFERROR(__xludf.DUMMYFUNCTION("IMPORTRANGE(""https://docs.google.com/spreadsheets/d/1yGy89TWty5kAjAO5OL1fLLQ_DL8fVJHFf2LvMm8qymA/edit?usp=sharing"",""รวมเหนือ!N443"")+IMPORTRANGE(""https://docs.google.com/spreadsheets/d/1bWGR5Y7oTgtZIep2hLdTHG-chM0w9aHBSSpJHwm6lak/edit?usp=sharing"","""&amp;"รวมตะวันออกเฉียงเหนือ!N443"")+IMPORTRANGE(""https://docs.google.com/spreadsheets/d/1dCxWUCc_SKNp-qd8qsaa5pPX_-BuQqWJ_-8FnsS4Ki0/edit?usp=sharing"",""รวมกลาง!N443"")+IMPORTRANGE(""https://docs.google.com/spreadsheets/d/1uOzBKYgpuhMUe0xXQLXSct3xZ80hakAMJHdG"&amp;"Jh9616E/edit?usp=sharing"",""รวมใต้!N443"")"),1442804.75999999)</f>
        <v>1442804.75999999</v>
      </c>
      <c r="O454" s="165"/>
      <c r="P454" s="165"/>
    </row>
    <row r="455" spans="1:16" ht="21.75" customHeight="1" x14ac:dyDescent="0.3">
      <c r="A455" s="174"/>
      <c r="B455" s="175"/>
      <c r="C455" s="159" t="s">
        <v>16</v>
      </c>
      <c r="D455" s="176" t="s">
        <v>41</v>
      </c>
      <c r="E455" s="177"/>
      <c r="F455" s="177"/>
      <c r="G455" s="178"/>
      <c r="H455" s="179"/>
      <c r="I455" s="162"/>
      <c r="J455" s="162"/>
      <c r="K455" s="163"/>
      <c r="L455" s="180"/>
      <c r="M455" s="180"/>
      <c r="N455" s="180"/>
      <c r="O455" s="180"/>
      <c r="P455" s="180"/>
    </row>
    <row r="456" spans="1:16" ht="21.75" customHeight="1" x14ac:dyDescent="0.3">
      <c r="A456" s="174"/>
      <c r="B456" s="175"/>
      <c r="C456" s="175"/>
      <c r="D456" s="181">
        <v>1</v>
      </c>
      <c r="E456" s="182" t="s">
        <v>42</v>
      </c>
      <c r="F456" s="183"/>
      <c r="G456" s="184"/>
      <c r="H456" s="185"/>
      <c r="I456" s="186"/>
      <c r="J456" s="206">
        <f ca="1">IFERROR(__xludf.DUMMYFUNCTION("IMPORTRANGE(""https://docs.google.com/spreadsheets/d/1yGy89TWty5kAjAO5OL1fLLQ_DL8fVJHFf2LvMm8qymA/edit?usp=sharing"",""รวมเหนือ!J445"")+IMPORTRANGE(""https://docs.google.com/spreadsheets/d/1bWGR5Y7oTgtZIep2hLdTHG-chM0w9aHBSSpJHwm6lak/edit?usp=sharing"","""&amp;"รวมตะวันออกเฉียงเหนือ!J445"")+IMPORTRANGE(""https://docs.google.com/spreadsheets/d/1dCxWUCc_SKNp-qd8qsaa5pPX_-BuQqWJ_-8FnsS4Ki0/edit?usp=sharing"",""รวมกลาง!J445"")+IMPORTRANGE(""https://docs.google.com/spreadsheets/d/1uOzBKYgpuhMUe0xXQLXSct3xZ80hakAMJHdG"&amp;"Jh9616E/edit?usp=sharing"",""รวมใต้!J445"")"),0)</f>
        <v>0</v>
      </c>
      <c r="K456" s="163"/>
      <c r="L456" s="180"/>
      <c r="M456" s="180"/>
      <c r="N456" s="180"/>
      <c r="O456" s="180"/>
      <c r="P456" s="180"/>
    </row>
    <row r="457" spans="1:16" ht="21.75" customHeight="1" x14ac:dyDescent="0.3">
      <c r="A457" s="174"/>
      <c r="B457" s="175"/>
      <c r="C457" s="175"/>
      <c r="D457" s="188">
        <v>2</v>
      </c>
      <c r="E457" s="189" t="s">
        <v>43</v>
      </c>
      <c r="F457" s="190"/>
      <c r="G457" s="191"/>
      <c r="H457" s="185"/>
      <c r="I457" s="186"/>
      <c r="J457" s="416">
        <f ca="1">IFERROR(__xludf.DUMMYFUNCTION("IMPORTRANGE(""https://docs.google.com/spreadsheets/d/1yGy89TWty5kAjAO5OL1fLLQ_DL8fVJHFf2LvMm8qymA/edit?usp=sharing"",""รวมเหนือ!J446"")+IMPORTRANGE(""https://docs.google.com/spreadsheets/d/1bWGR5Y7oTgtZIep2hLdTHG-chM0w9aHBSSpJHwm6lak/edit?usp=sharing"","""&amp;"รวมตะวันออกเฉียงเหนือ!J446"")+IMPORTRANGE(""https://docs.google.com/spreadsheets/d/1dCxWUCc_SKNp-qd8qsaa5pPX_-BuQqWJ_-8FnsS4Ki0/edit?usp=sharing"",""รวมกลาง!J446"")+IMPORTRANGE(""https://docs.google.com/spreadsheets/d/1uOzBKYgpuhMUe0xXQLXSct3xZ80hakAMJHdG"&amp;"Jh9616E/edit?usp=sharing"",""รวมใต้!J446"")"),70)</f>
        <v>70</v>
      </c>
      <c r="K457" s="163"/>
      <c r="L457" s="180" t="s">
        <v>39</v>
      </c>
      <c r="M457" s="180"/>
      <c r="N457" s="180" t="s">
        <v>39</v>
      </c>
      <c r="O457" s="180"/>
      <c r="P457" s="180"/>
    </row>
    <row r="458" spans="1:16" ht="21.75" customHeight="1" x14ac:dyDescent="0.3">
      <c r="A458" s="174"/>
      <c r="B458" s="175"/>
      <c r="C458" s="175"/>
      <c r="D458" s="192"/>
      <c r="E458" s="193" t="s">
        <v>160</v>
      </c>
      <c r="F458" s="194"/>
      <c r="G458" s="195"/>
      <c r="H458" s="185"/>
      <c r="I458" s="186"/>
      <c r="J458" s="187">
        <f ca="1">IFERROR(__xludf.DUMMYFUNCTION("IMPORTRANGE(""https://docs.google.com/spreadsheets/d/1yGy89TWty5kAjAO5OL1fLLQ_DL8fVJHFf2LvMm8qymA/edit?usp=sharing"",""รวมเหนือ!J447"")+IMPORTRANGE(""https://docs.google.com/spreadsheets/d/1bWGR5Y7oTgtZIep2hLdTHG-chM0w9aHBSSpJHwm6lak/edit?usp=sharing"","""&amp;"รวมตะวันออกเฉียงเหนือ!J447"")+IMPORTRANGE(""https://docs.google.com/spreadsheets/d/1dCxWUCc_SKNp-qd8qsaa5pPX_-BuQqWJ_-8FnsS4Ki0/edit?usp=sharing"",""รวมกลาง!J447"")+IMPORTRANGE(""https://docs.google.com/spreadsheets/d/1uOzBKYgpuhMUe0xXQLXSct3xZ80hakAMJHdG"&amp;"Jh9616E/edit?usp=sharing"",""รวมใต้!J447"")"),68)</f>
        <v>68</v>
      </c>
      <c r="K458" s="163"/>
      <c r="L458" s="180"/>
      <c r="M458" s="180"/>
      <c r="N458" s="180"/>
      <c r="O458" s="180"/>
      <c r="P458" s="180"/>
    </row>
    <row r="459" spans="1:16" ht="21.75" customHeight="1" x14ac:dyDescent="0.3">
      <c r="A459" s="174"/>
      <c r="B459" s="175"/>
      <c r="C459" s="175"/>
      <c r="D459" s="192"/>
      <c r="E459" s="193" t="s">
        <v>45</v>
      </c>
      <c r="F459" s="194"/>
      <c r="G459" s="195"/>
      <c r="H459" s="185"/>
      <c r="I459" s="186"/>
      <c r="J459" s="187">
        <f ca="1">IFERROR(__xludf.DUMMYFUNCTION("IMPORTRANGE(""https://docs.google.com/spreadsheets/d/1yGy89TWty5kAjAO5OL1fLLQ_DL8fVJHFf2LvMm8qymA/edit?usp=sharing"",""รวมเหนือ!J448"")+IMPORTRANGE(""https://docs.google.com/spreadsheets/d/1bWGR5Y7oTgtZIep2hLdTHG-chM0w9aHBSSpJHwm6lak/edit?usp=sharing"","""&amp;"รวมตะวันออกเฉียงเหนือ!J448"")+IMPORTRANGE(""https://docs.google.com/spreadsheets/d/1dCxWUCc_SKNp-qd8qsaa5pPX_-BuQqWJ_-8FnsS4Ki0/edit?usp=sharing"",""รวมกลาง!J448"")+IMPORTRANGE(""https://docs.google.com/spreadsheets/d/1uOzBKYgpuhMUe0xXQLXSct3xZ80hakAMJHdG"&amp;"Jh9616E/edit?usp=sharing"",""รวมใต้!J448"")"),62)</f>
        <v>62</v>
      </c>
      <c r="K459" s="163"/>
      <c r="L459" s="180"/>
      <c r="M459" s="180"/>
      <c r="N459" s="180"/>
      <c r="O459" s="180"/>
      <c r="P459" s="180"/>
    </row>
    <row r="460" spans="1:16" ht="21.75" customHeight="1" x14ac:dyDescent="0.3">
      <c r="A460" s="174"/>
      <c r="B460" s="175"/>
      <c r="C460" s="175"/>
      <c r="D460" s="192"/>
      <c r="E460" s="196"/>
      <c r="F460" s="417" t="s">
        <v>100</v>
      </c>
      <c r="G460" s="195"/>
      <c r="H460" s="185" t="s">
        <v>37</v>
      </c>
      <c r="I460" s="394">
        <f t="shared" ref="I460:J460" ca="1" si="128">I461+I462+I463</f>
        <v>2144</v>
      </c>
      <c r="J460" s="198">
        <f t="shared" ca="1" si="128"/>
        <v>2071</v>
      </c>
      <c r="K460" s="163">
        <f t="shared" ref="K460:K463" ca="1" si="129">IF(I460&gt;0,J460*100/I460,0)</f>
        <v>96.59514925373135</v>
      </c>
      <c r="L460" s="180"/>
      <c r="M460" s="180"/>
      <c r="N460" s="180"/>
      <c r="O460" s="180"/>
      <c r="P460" s="180"/>
    </row>
    <row r="461" spans="1:16" ht="21.75" customHeight="1" x14ac:dyDescent="0.3">
      <c r="A461" s="174"/>
      <c r="B461" s="175"/>
      <c r="C461" s="175"/>
      <c r="D461" s="192"/>
      <c r="E461" s="196"/>
      <c r="F461" s="194"/>
      <c r="G461" s="418" t="s">
        <v>161</v>
      </c>
      <c r="H461" s="185" t="s">
        <v>37</v>
      </c>
      <c r="I461" s="340">
        <f ca="1">IFERROR(__xludf.DUMMYFUNCTION("IMPORTRANGE(""https://docs.google.com/spreadsheets/d/1yGy89TWty5kAjAO5OL1fLLQ_DL8fVJHFf2LvMm8qymA/edit?usp=sharing"",""รวมเหนือ!I450"")+IMPORTRANGE(""https://docs.google.com/spreadsheets/d/1bWGR5Y7oTgtZIep2hLdTHG-chM0w9aHBSSpJHwm6lak/edit?usp=sharing"","""&amp;"รวมตะวันออกเฉียงเหนือ!I450"")+IMPORTRANGE(""https://docs.google.com/spreadsheets/d/1dCxWUCc_SKNp-qd8qsaa5pPX_-BuQqWJ_-8FnsS4Ki0/edit?usp=sharing"",""รวมกลาง!I450"")+IMPORTRANGE(""https://docs.google.com/spreadsheets/d/1uOzBKYgpuhMUe0xXQLXSct3xZ80hakAMJHdG"&amp;"Jh9616E/edit?usp=sharing"",""รวมใต้!I450"")"),1430)</f>
        <v>1430</v>
      </c>
      <c r="J461" s="187">
        <f ca="1">IFERROR(__xludf.DUMMYFUNCTION("IMPORTRANGE(""https://docs.google.com/spreadsheets/d/1yGy89TWty5kAjAO5OL1fLLQ_DL8fVJHFf2LvMm8qymA/edit?usp=sharing"",""รวมเหนือ!J450"")+IMPORTRANGE(""https://docs.google.com/spreadsheets/d/1bWGR5Y7oTgtZIep2hLdTHG-chM0w9aHBSSpJHwm6lak/edit?usp=sharing"","""&amp;"รวมตะวันออกเฉียงเหนือ!J450"")+IMPORTRANGE(""https://docs.google.com/spreadsheets/d/1dCxWUCc_SKNp-qd8qsaa5pPX_-BuQqWJ_-8FnsS4Ki0/edit?usp=sharing"",""รวมกลาง!J450"")+IMPORTRANGE(""https://docs.google.com/spreadsheets/d/1uOzBKYgpuhMUe0xXQLXSct3xZ80hakAMJHdG"&amp;"Jh9616E/edit?usp=sharing"",""รวมใต้!J450"")"),1340)</f>
        <v>1340</v>
      </c>
      <c r="K461" s="163">
        <f t="shared" ca="1" si="129"/>
        <v>93.706293706293707</v>
      </c>
      <c r="L461" s="180"/>
      <c r="M461" s="180"/>
      <c r="N461" s="180"/>
      <c r="O461" s="180"/>
      <c r="P461" s="180"/>
    </row>
    <row r="462" spans="1:16" ht="21.75" customHeight="1" x14ac:dyDescent="0.3">
      <c r="A462" s="174"/>
      <c r="B462" s="175"/>
      <c r="C462" s="175"/>
      <c r="D462" s="192"/>
      <c r="E462" s="196"/>
      <c r="F462" s="194"/>
      <c r="G462" s="419" t="s">
        <v>162</v>
      </c>
      <c r="H462" s="185" t="s">
        <v>37</v>
      </c>
      <c r="I462" s="340">
        <f ca="1">IFERROR(__xludf.DUMMYFUNCTION("IMPORTRANGE(""https://docs.google.com/spreadsheets/d/1yGy89TWty5kAjAO5OL1fLLQ_DL8fVJHFf2LvMm8qymA/edit?usp=sharing"",""รวมเหนือ!I451"")+IMPORTRANGE(""https://docs.google.com/spreadsheets/d/1bWGR5Y7oTgtZIep2hLdTHG-chM0w9aHBSSpJHwm6lak/edit?usp=sharing"","""&amp;"รวมตะวันออกเฉียงเหนือ!I451"")+IMPORTRANGE(""https://docs.google.com/spreadsheets/d/1dCxWUCc_SKNp-qd8qsaa5pPX_-BuQqWJ_-8FnsS4Ki0/edit?usp=sharing"",""รวมกลาง!I451"")+IMPORTRANGE(""https://docs.google.com/spreadsheets/d/1uOzBKYgpuhMUe0xXQLXSct3xZ80hakAMJHdG"&amp;"Jh9616E/edit?usp=sharing"",""รวมใต้!I451"")"),354)</f>
        <v>354</v>
      </c>
      <c r="J462" s="186">
        <f ca="1">IFERROR(__xludf.DUMMYFUNCTION("IMPORTRANGE(""https://docs.google.com/spreadsheets/d/1yGy89TWty5kAjAO5OL1fLLQ_DL8fVJHFf2LvMm8qymA/edit?usp=sharing"",""รวมเหนือ!J451"")+
IMPORTRANGE(""https://docs.google.com/spreadsheets/d/1bWGR5Y7oTgtZIep2hLdTHG-chM0w9aHBSSpJHwm6lak/edit?usp=sharing"","&amp;"""รวมตะวันออกเฉียงเหนือ!J451"")+
IMPORTRANGE(""https://docs.google.com/spreadsheets/d/1dCxWUCc_SKNp-qd8qsaa5pPX_-BuQqWJ_-8FnsS4Ki0/edit?usp=sharing"",""รวมกลาง!J451"")+
IMPORTRANGE(""https://docs.google.com/spreadsheets/d/1uOzBKYgpuhMUe0xXQLXSct3xZ80hakAM"&amp;"JHdGJh9616E/edit?usp=sharing"",""รวมใต้!J451"")"),354)</f>
        <v>354</v>
      </c>
      <c r="K462" s="163">
        <f t="shared" ca="1" si="129"/>
        <v>100</v>
      </c>
      <c r="L462" s="180"/>
      <c r="M462" s="180"/>
      <c r="N462" s="180"/>
      <c r="O462" s="180"/>
      <c r="P462" s="180"/>
    </row>
    <row r="463" spans="1:16" ht="21.75" customHeight="1" x14ac:dyDescent="0.3">
      <c r="A463" s="174"/>
      <c r="B463" s="175"/>
      <c r="C463" s="175"/>
      <c r="D463" s="192"/>
      <c r="E463" s="196"/>
      <c r="F463" s="194"/>
      <c r="G463" s="419" t="s">
        <v>163</v>
      </c>
      <c r="H463" s="185" t="s">
        <v>37</v>
      </c>
      <c r="I463" s="187">
        <v>360</v>
      </c>
      <c r="J463" s="186">
        <f ca="1">IFERROR(__xludf.DUMMYFUNCTION("IMPORTRANGE(""https://docs.google.com/spreadsheets/d/1-fhVXPMm30suWK0-eslVgeT9cTVfCsDeUsq7Bk5UZE8/edit?usp=sharing"",""ทั้งประเทศ!J347"")"),377)</f>
        <v>377</v>
      </c>
      <c r="K463" s="163">
        <f t="shared" ca="1" si="129"/>
        <v>104.72222222222223</v>
      </c>
      <c r="L463" s="180"/>
      <c r="M463" s="180"/>
      <c r="N463" s="180"/>
      <c r="O463" s="180"/>
      <c r="P463" s="180"/>
    </row>
    <row r="464" spans="1:16" ht="21.75" customHeight="1" x14ac:dyDescent="0.3">
      <c r="A464" s="174"/>
      <c r="B464" s="175"/>
      <c r="C464" s="175"/>
      <c r="D464" s="192"/>
      <c r="E464" s="193" t="s">
        <v>51</v>
      </c>
      <c r="F464" s="194"/>
      <c r="G464" s="195"/>
      <c r="H464" s="185"/>
      <c r="I464" s="186"/>
      <c r="J464" s="186">
        <f ca="1">IFERROR(__xludf.DUMMYFUNCTION("IMPORTRANGE(""https://docs.google.com/spreadsheets/d/1yGy89TWty5kAjAO5OL1fLLQ_DL8fVJHFf2LvMm8qymA/edit?usp=sharing"",""รวมเหนือ!J453"")+IMPORTRANGE(""https://docs.google.com/spreadsheets/d/1bWGR5Y7oTgtZIep2hLdTHG-chM0w9aHBSSpJHwm6lak/edit?usp=sharing"","""&amp;"รวมตะวันออกเฉียงเหนือ!J453"")+IMPORTRANGE(""https://docs.google.com/spreadsheets/d/1dCxWUCc_SKNp-qd8qsaa5pPX_-BuQqWJ_-8FnsS4Ki0/edit?usp=sharing"",""รวมกลาง!J453"")+IMPORTRANGE(""https://docs.google.com/spreadsheets/d/1uOzBKYgpuhMUe0xXQLXSct3xZ80hakAMJHdG"&amp;"Jh9616E/edit?usp=sharing"",""รวมใต้!J453"")"),3)</f>
        <v>3</v>
      </c>
      <c r="K464" s="163"/>
      <c r="L464" s="180"/>
      <c r="M464" s="180"/>
      <c r="N464" s="180"/>
      <c r="O464" s="180"/>
      <c r="P464" s="180"/>
    </row>
    <row r="465" spans="1:16" ht="21.75" customHeight="1" x14ac:dyDescent="0.3">
      <c r="A465" s="174"/>
      <c r="B465" s="175"/>
      <c r="C465" s="175"/>
      <c r="D465" s="202">
        <v>3</v>
      </c>
      <c r="E465" s="203" t="s">
        <v>52</v>
      </c>
      <c r="F465" s="204"/>
      <c r="G465" s="205"/>
      <c r="H465" s="185"/>
      <c r="I465" s="186"/>
      <c r="J465" s="206">
        <f ca="1">IFERROR(__xludf.DUMMYFUNCTION("IMPORTRANGE(""https://docs.google.com/spreadsheets/d/1yGy89TWty5kAjAO5OL1fLLQ_DL8fVJHFf2LvMm8qymA/edit?usp=sharing"",""รวมเหนือ!J454"")+IMPORTRANGE(""https://docs.google.com/spreadsheets/d/1bWGR5Y7oTgtZIep2hLdTHG-chM0w9aHBSSpJHwm6lak/edit?usp=sharing"","""&amp;"รวมตะวันออกเฉียงเหนือ!J454"")+IMPORTRANGE(""https://docs.google.com/spreadsheets/d/1dCxWUCc_SKNp-qd8qsaa5pPX_-BuQqWJ_-8FnsS4Ki0/edit?usp=sharing"",""รวมกลาง!J454"")+IMPORTRANGE(""https://docs.google.com/spreadsheets/d/1uOzBKYgpuhMUe0xXQLXSct3xZ80hakAMJHdG"&amp;"Jh9616E/edit?usp=sharing"",""รวมใต้!J454"")"),2)</f>
        <v>2</v>
      </c>
      <c r="K465" s="163"/>
      <c r="L465" s="180"/>
      <c r="M465" s="180"/>
      <c r="N465" s="180"/>
      <c r="O465" s="180"/>
      <c r="P465" s="180"/>
    </row>
    <row r="466" spans="1:16" ht="21.75" customHeight="1" x14ac:dyDescent="0.3">
      <c r="A466" s="366"/>
      <c r="B466" s="367">
        <v>5</v>
      </c>
      <c r="C466" s="368" t="s">
        <v>164</v>
      </c>
      <c r="D466" s="368"/>
      <c r="E466" s="368"/>
      <c r="F466" s="368"/>
      <c r="G466" s="369"/>
      <c r="H466" s="370" t="s">
        <v>121</v>
      </c>
      <c r="I466" s="420">
        <v>2500000</v>
      </c>
      <c r="J466" s="371">
        <f ca="1">IFERROR(__xludf.DUMMYFUNCTION("IMPORTRANGE(""https://docs.google.com/spreadsheets/d/1yGy89TWty5kAjAO5OL1fLLQ_DL8fVJHFf2LvMm8qymA/edit?usp=sharing"",""รวมเหนือ!J455"")+IMPORTRANGE(""https://docs.google.com/spreadsheets/d/1bWGR5Y7oTgtZIep2hLdTHG-chM0w9aHBSSpJHwm6lak/edit?usp=sharing"","""&amp;"รวมตะวันออกเฉียงเหนือ!J455"")+IMPORTRANGE(""https://docs.google.com/spreadsheets/d/1dCxWUCc_SKNp-qd8qsaa5pPX_-BuQqWJ_-8FnsS4Ki0/edit?usp=sharing"",""รวมกลาง!J455"")+IMPORTRANGE(""https://docs.google.com/spreadsheets/d/1uOzBKYgpuhMUe0xXQLXSct3xZ80hakAMJHdG"&amp;"Jh9616E/edit?usp=sharing"",""รวมใต้!J455"")"),1080219.5975)</f>
        <v>1080219.5974999999</v>
      </c>
      <c r="K466" s="372">
        <f ca="1">IF(I466&gt;0,J466*100/I466,0)</f>
        <v>43.208783899999993</v>
      </c>
      <c r="L466" s="373">
        <f ca="1">L467+L468</f>
        <v>40611302</v>
      </c>
      <c r="M466" s="373"/>
      <c r="N466" s="373">
        <f ca="1">N467+N468</f>
        <v>6952868.2599999998</v>
      </c>
      <c r="O466" s="373">
        <f t="shared" ref="O466:O470" ca="1" si="130">+IF(L466&gt;0,N466*100/L466,0)</f>
        <v>17.120525365081868</v>
      </c>
      <c r="P466" s="373"/>
    </row>
    <row r="467" spans="1:16" ht="21.75" customHeight="1" x14ac:dyDescent="0.3">
      <c r="A467" s="158"/>
      <c r="B467" s="159"/>
      <c r="C467" s="159" t="s">
        <v>16</v>
      </c>
      <c r="D467" s="274" t="s">
        <v>75</v>
      </c>
      <c r="E467" s="167"/>
      <c r="F467" s="167"/>
      <c r="G467" s="160" t="s">
        <v>38</v>
      </c>
      <c r="H467" s="168" t="s">
        <v>12</v>
      </c>
      <c r="I467" s="162" t="s">
        <v>39</v>
      </c>
      <c r="J467" s="162"/>
      <c r="K467" s="163"/>
      <c r="L467" s="275">
        <f ca="1">IFERROR(__xludf.DUMMYFUNCTION("IMPORTRANGE(""https://docs.google.com/spreadsheets/d/1muirlRDkqiswvy_NRZ3Yh955hx-PF6_HhssUYiSJj8o/edit?usp=sharing"",""กองทุนส่วนกลาง!W10"")"),12628950)</f>
        <v>12628950</v>
      </c>
      <c r="M467" s="275"/>
      <c r="N467" s="276">
        <f ca="1">IFERROR(__xludf.DUMMYFUNCTION("IMPORTRANGE(""https://docs.google.com/spreadsheets/d/1-fhVXPMm30suWK0-eslVgeT9cTVfCsDeUsq7Bk5UZE8/edit?usp=sharing"",""ทั้งประเทศ!M351"")"),581484.05)</f>
        <v>581484.05000000005</v>
      </c>
      <c r="O467" s="276">
        <f t="shared" ca="1" si="130"/>
        <v>4.6043736811057139</v>
      </c>
      <c r="P467" s="165"/>
    </row>
    <row r="468" spans="1:16" ht="21.75" customHeight="1" x14ac:dyDescent="0.3">
      <c r="A468" s="158"/>
      <c r="B468" s="159"/>
      <c r="C468" s="159"/>
      <c r="D468" s="166"/>
      <c r="E468" s="167"/>
      <c r="F468" s="167" t="s">
        <v>39</v>
      </c>
      <c r="G468" s="160" t="s">
        <v>40</v>
      </c>
      <c r="H468" s="168" t="s">
        <v>12</v>
      </c>
      <c r="I468" s="162"/>
      <c r="J468" s="162"/>
      <c r="K468" s="163"/>
      <c r="L468" s="276">
        <f ca="1">L469+L470</f>
        <v>27982352</v>
      </c>
      <c r="M468" s="276"/>
      <c r="N468" s="276">
        <f ca="1">N469+N470</f>
        <v>6371384.21</v>
      </c>
      <c r="O468" s="276">
        <f t="shared" ca="1" si="130"/>
        <v>22.769294768359714</v>
      </c>
      <c r="P468" s="165"/>
    </row>
    <row r="469" spans="1:16" ht="21.75" customHeight="1" x14ac:dyDescent="0.4">
      <c r="A469" s="158"/>
      <c r="B469" s="159"/>
      <c r="C469" s="159"/>
      <c r="D469" s="166"/>
      <c r="E469" s="167"/>
      <c r="F469" s="167"/>
      <c r="G469" s="34" t="s">
        <v>21</v>
      </c>
      <c r="H469" s="168" t="s">
        <v>12</v>
      </c>
      <c r="I469" s="162"/>
      <c r="J469" s="162"/>
      <c r="K469" s="163"/>
      <c r="L469" s="165">
        <f ca="1">IFERROR(__xludf.DUMMYFUNCTION("IMPORTRANGE(""https://docs.google.com/spreadsheets/d/1yGy89TWty5kAjAO5OL1fLLQ_DL8fVJHFf2LvMm8qymA/edit?usp=sharing"",""รวมเหนือ!L458"")+IMPORTRANGE(""https://docs.google.com/spreadsheets/d/1bWGR5Y7oTgtZIep2hLdTHG-chM0w9aHBSSpJHwm6lak/edit?usp=sharing"","""&amp;"รวมตะวันออกเฉียงเหนือ!L458"")+IMPORTRANGE(""https://docs.google.com/spreadsheets/d/1dCxWUCc_SKNp-qd8qsaa5pPX_-BuQqWJ_-8FnsS4Ki0/edit?usp=sharing"",""รวมกลาง!L458"")+IMPORTRANGE(""https://docs.google.com/spreadsheets/d/1uOzBKYgpuhMUe0xXQLXSct3xZ80hakAMJHdG"&amp;"Jh9616E/edit?usp=sharing"",""รวมใต้!L458"")"),0)</f>
        <v>0</v>
      </c>
      <c r="M469" s="165"/>
      <c r="N469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469" s="165">
        <f t="shared" ca="1" si="130"/>
        <v>0</v>
      </c>
      <c r="P469" s="165"/>
    </row>
    <row r="470" spans="1:16" ht="21.75" customHeight="1" x14ac:dyDescent="0.4">
      <c r="A470" s="158"/>
      <c r="B470" s="159"/>
      <c r="C470" s="159"/>
      <c r="D470" s="166"/>
      <c r="E470" s="167"/>
      <c r="F470" s="167"/>
      <c r="G470" s="34" t="s">
        <v>22</v>
      </c>
      <c r="H470" s="168" t="s">
        <v>12</v>
      </c>
      <c r="I470" s="162"/>
      <c r="J470" s="162"/>
      <c r="K470" s="163"/>
      <c r="L470" s="165">
        <f ca="1">IFERROR(__xludf.DUMMYFUNCTION("IMPORTRANGE(""https://docs.google.com/spreadsheets/d/1yGy89TWty5kAjAO5OL1fLLQ_DL8fVJHFf2LvMm8qymA/edit?usp=sharing"",""รวมเหนือ!L459"")+IMPORTRANGE(""https://docs.google.com/spreadsheets/d/1bWGR5Y7oTgtZIep2hLdTHG-chM0w9aHBSSpJHwm6lak/edit?usp=sharing"","""&amp;"รวมตะวันออกเฉียงเหนือ!L459"")+IMPORTRANGE(""https://docs.google.com/spreadsheets/d/1dCxWUCc_SKNp-qd8qsaa5pPX_-BuQqWJ_-8FnsS4Ki0/edit?usp=sharing"",""รวมกลาง!L459"")+IMPORTRANGE(""https://docs.google.com/spreadsheets/d/1uOzBKYgpuhMUe0xXQLXSct3xZ80hakAMJHdG"&amp;"Jh9616E/edit?usp=sharing"",""รวมใต้!L459"")"),27982352)</f>
        <v>27982352</v>
      </c>
      <c r="M470" s="165"/>
      <c r="N470" s="165">
        <f ca="1">N471+N472+N473+N474</f>
        <v>6371384.21</v>
      </c>
      <c r="O470" s="165">
        <f t="shared" ca="1" si="130"/>
        <v>22.769294768359714</v>
      </c>
      <c r="P470" s="165"/>
    </row>
    <row r="471" spans="1:16" ht="21.75" customHeight="1" x14ac:dyDescent="0.3">
      <c r="A471" s="375"/>
      <c r="B471" s="376"/>
      <c r="C471" s="159"/>
      <c r="D471" s="377"/>
      <c r="E471" s="167"/>
      <c r="F471" s="167"/>
      <c r="G471" s="378" t="s">
        <v>129</v>
      </c>
      <c r="H471" s="168" t="s">
        <v>12</v>
      </c>
      <c r="I471" s="186"/>
      <c r="J471" s="186"/>
      <c r="K471" s="221"/>
      <c r="L471" s="165"/>
      <c r="M471" s="165"/>
      <c r="N471" s="164">
        <f ca="1">IFERROR(__xludf.DUMMYFUNCTION("IMPORTRANGE(""https://docs.google.com/spreadsheets/d/1yGy89TWty5kAjAO5OL1fLLQ_DL8fVJHFf2LvMm8qymA/edit?usp=sharing"",""รวมเหนือ!N460"")+IMPORTRANGE(""https://docs.google.com/spreadsheets/d/1bWGR5Y7oTgtZIep2hLdTHG-chM0w9aHBSSpJHwm6lak/edit?usp=sharing"","""&amp;"รวมตะวันออกเฉียงเหนือ!N460"")+IMPORTRANGE(""https://docs.google.com/spreadsheets/d/1dCxWUCc_SKNp-qd8qsaa5pPX_-BuQqWJ_-8FnsS4Ki0/edit?usp=sharing"",""รวมกลาง!N460"")+IMPORTRANGE(""https://docs.google.com/spreadsheets/d/1uOzBKYgpuhMUe0xXQLXSct3xZ80hakAMJHdG"&amp;"Jh9616E/edit?usp=sharing"",""รวมใต้!N460"")"),0)</f>
        <v>0</v>
      </c>
      <c r="O471" s="165"/>
      <c r="P471" s="165"/>
    </row>
    <row r="472" spans="1:16" ht="21.75" customHeight="1" x14ac:dyDescent="0.3">
      <c r="A472" s="375"/>
      <c r="B472" s="376"/>
      <c r="C472" s="159"/>
      <c r="D472" s="377"/>
      <c r="E472" s="167"/>
      <c r="F472" s="167"/>
      <c r="G472" s="378" t="s">
        <v>130</v>
      </c>
      <c r="H472" s="168" t="s">
        <v>12</v>
      </c>
      <c r="I472" s="186"/>
      <c r="J472" s="186"/>
      <c r="K472" s="221"/>
      <c r="L472" s="165"/>
      <c r="M472" s="165"/>
      <c r="N472" s="164">
        <f ca="1">IFERROR(__xludf.DUMMYFUNCTION("IMPORTRANGE(""https://docs.google.com/spreadsheets/d/1yGy89TWty5kAjAO5OL1fLLQ_DL8fVJHFf2LvMm8qymA/edit?usp=sharing"",""รวมเหนือ!N461"")+IMPORTRANGE(""https://docs.google.com/spreadsheets/d/1bWGR5Y7oTgtZIep2hLdTHG-chM0w9aHBSSpJHwm6lak/edit?usp=sharing"","""&amp;"รวมตะวันออกเฉียงเหนือ!N461"")+IMPORTRANGE(""https://docs.google.com/spreadsheets/d/1dCxWUCc_SKNp-qd8qsaa5pPX_-BuQqWJ_-8FnsS4Ki0/edit?usp=sharing"",""รวมกลาง!N461"")+IMPORTRANGE(""https://docs.google.com/spreadsheets/d/1uOzBKYgpuhMUe0xXQLXSct3xZ80hakAMJHdG"&amp;"Jh9616E/edit?usp=sharing"",""รวมใต้!N461"")"),0)</f>
        <v>0</v>
      </c>
      <c r="O472" s="165"/>
      <c r="P472" s="165"/>
    </row>
    <row r="473" spans="1:16" ht="21.75" customHeight="1" x14ac:dyDescent="0.3">
      <c r="A473" s="375"/>
      <c r="B473" s="376"/>
      <c r="C473" s="159"/>
      <c r="D473" s="377"/>
      <c r="E473" s="167"/>
      <c r="F473" s="167"/>
      <c r="G473" s="378" t="s">
        <v>131</v>
      </c>
      <c r="H473" s="168" t="s">
        <v>12</v>
      </c>
      <c r="I473" s="186"/>
      <c r="J473" s="186"/>
      <c r="K473" s="221"/>
      <c r="L473" s="165"/>
      <c r="M473" s="165"/>
      <c r="N473" s="164">
        <f ca="1">IFERROR(__xludf.DUMMYFUNCTION("IMPORTRANGE(""https://docs.google.com/spreadsheets/d/1yGy89TWty5kAjAO5OL1fLLQ_DL8fVJHFf2LvMm8qymA/edit?usp=sharing"",""รวมเหนือ!N462"")+IMPORTRANGE(""https://docs.google.com/spreadsheets/d/1bWGR5Y7oTgtZIep2hLdTHG-chM0w9aHBSSpJHwm6lak/edit?usp=sharing"","""&amp;"รวมตะวันออกเฉียงเหนือ!N462"")+IMPORTRANGE(""https://docs.google.com/spreadsheets/d/1dCxWUCc_SKNp-qd8qsaa5pPX_-BuQqWJ_-8FnsS4Ki0/edit?usp=sharing"",""รวมกลาง!N462"")+IMPORTRANGE(""https://docs.google.com/spreadsheets/d/1uOzBKYgpuhMUe0xXQLXSct3xZ80hakAMJHdG"&amp;"Jh9616E/edit?usp=sharing"",""รวมใต้!N462"")"),1847041.11)</f>
        <v>1847041.11</v>
      </c>
      <c r="O473" s="165"/>
      <c r="P473" s="165"/>
    </row>
    <row r="474" spans="1:16" ht="21.75" customHeight="1" x14ac:dyDescent="0.3">
      <c r="A474" s="375"/>
      <c r="B474" s="376"/>
      <c r="C474" s="159"/>
      <c r="D474" s="377"/>
      <c r="E474" s="167"/>
      <c r="F474" s="167"/>
      <c r="G474" s="378" t="s">
        <v>132</v>
      </c>
      <c r="H474" s="168" t="s">
        <v>12</v>
      </c>
      <c r="I474" s="186"/>
      <c r="J474" s="186"/>
      <c r="K474" s="221"/>
      <c r="L474" s="165"/>
      <c r="M474" s="165"/>
      <c r="N474" s="164">
        <f ca="1">IFERROR(__xludf.DUMMYFUNCTION("IMPORTRANGE(""https://docs.google.com/spreadsheets/d/1yGy89TWty5kAjAO5OL1fLLQ_DL8fVJHFf2LvMm8qymA/edit?usp=sharing"",""รวมเหนือ!N463"")+IMPORTRANGE(""https://docs.google.com/spreadsheets/d/1bWGR5Y7oTgtZIep2hLdTHG-chM0w9aHBSSpJHwm6lak/edit?usp=sharing"","""&amp;"รวมตะวันออกเฉียงเหนือ!N463"")+IMPORTRANGE(""https://docs.google.com/spreadsheets/d/1dCxWUCc_SKNp-qd8qsaa5pPX_-BuQqWJ_-8FnsS4Ki0/edit?usp=sharing"",""รวมกลาง!N463"")+IMPORTRANGE(""https://docs.google.com/spreadsheets/d/1uOzBKYgpuhMUe0xXQLXSct3xZ80hakAMJHdG"&amp;"Jh9616E/edit?usp=sharing"",""รวมใต้!N463"")"),4524343.1)</f>
        <v>4524343.0999999996</v>
      </c>
      <c r="O474" s="165"/>
      <c r="P474" s="165"/>
    </row>
    <row r="475" spans="1:16" ht="21.75" customHeight="1" x14ac:dyDescent="0.3">
      <c r="A475" s="174"/>
      <c r="B475" s="175"/>
      <c r="C475" s="421" t="s">
        <v>165</v>
      </c>
      <c r="D475" s="421"/>
      <c r="E475" s="422"/>
      <c r="F475" s="422"/>
      <c r="G475" s="423"/>
      <c r="H475" s="262" t="s">
        <v>121</v>
      </c>
      <c r="I475" s="289">
        <v>2500000</v>
      </c>
      <c r="J475" s="263">
        <f ca="1">IFERROR(__xludf.DUMMYFUNCTION("IMPORTRANGE(""https://docs.google.com/spreadsheets/d/1yGy89TWty5kAjAO5OL1fLLQ_DL8fVJHFf2LvMm8qymA/edit?usp=sharing"",""รวมเหนือ!J464"")+IMPORTRANGE(""https://docs.google.com/spreadsheets/d/1bWGR5Y7oTgtZIep2hLdTHG-chM0w9aHBSSpJHwm6lak/edit?usp=sharing"","""&amp;"รวมตะวันออกเฉียงเหนือ!J464"")+IMPORTRANGE(""https://docs.google.com/spreadsheets/d/1dCxWUCc_SKNp-qd8qsaa5pPX_-BuQqWJ_-8FnsS4Ki0/edit?usp=sharing"",""รวมกลาง!J464"")+IMPORTRANGE(""https://docs.google.com/spreadsheets/d/1uOzBKYgpuhMUe0xXQLXSct3xZ80hakAMJHdG"&amp;"Jh9616E/edit?usp=sharing"",""รวมใต้!J464"")"),1080219.5975)</f>
        <v>1080219.5974999999</v>
      </c>
      <c r="K475" s="264">
        <f t="shared" ref="K475:K527" ca="1" si="131">IF(I475&gt;0,J475*100/I475,0)</f>
        <v>43.208783899999993</v>
      </c>
      <c r="L475" s="292"/>
      <c r="M475" s="292"/>
      <c r="N475" s="292"/>
      <c r="O475" s="292"/>
      <c r="P475" s="292"/>
    </row>
    <row r="476" spans="1:16" ht="21.75" customHeight="1" x14ac:dyDescent="0.3">
      <c r="A476" s="405"/>
      <c r="B476" s="406"/>
      <c r="C476" s="406"/>
      <c r="D476" s="407"/>
      <c r="E476" s="192" t="s">
        <v>166</v>
      </c>
      <c r="F476" s="194"/>
      <c r="G476" s="195"/>
      <c r="H476" s="424" t="s">
        <v>121</v>
      </c>
      <c r="I476" s="425">
        <f ca="1">IFERROR(__xludf.DUMMYFUNCTION("IMPORTRANGE(""https://docs.google.com/spreadsheets/d/1yGy89TWty5kAjAO5OL1fLLQ_DL8fVJHFf2LvMm8qymA/edit?usp=sharing"",""รวมเหนือ!I465"")+IMPORTRANGE(""https://docs.google.com/spreadsheets/d/1bWGR5Y7oTgtZIep2hLdTHG-chM0w9aHBSSpJHwm6lak/edit?usp=sharing"","""&amp;"รวมตะวันออกเฉียงเหนือ!I465"")+IMPORTRANGE(""https://docs.google.com/spreadsheets/d/1dCxWUCc_SKNp-qd8qsaa5pPX_-BuQqWJ_-8FnsS4Ki0/edit?usp=sharing"",""รวมกลาง!I465"")+IMPORTRANGE(""https://docs.google.com/spreadsheets/d/1uOzBKYgpuhMUe0xXQLXSct3xZ80hakAMJHdG"&amp;"Jh9616E/edit?usp=sharing"",""รวมใต้!I465"")"),2725317)</f>
        <v>2725317</v>
      </c>
      <c r="J476" s="426">
        <f ca="1">IFERROR(__xludf.DUMMYFUNCTION("IMPORTRANGE(""https://docs.google.com/spreadsheets/d/1yGy89TWty5kAjAO5OL1fLLQ_DL8fVJHFf2LvMm8qymA/edit?usp=sharing"",""รวมเหนือ!J465"")+IMPORTRANGE(""https://docs.google.com/spreadsheets/d/1bWGR5Y7oTgtZIep2hLdTHG-chM0w9aHBSSpJHwm6lak/edit?usp=sharing"","""&amp;"รวมตะวันออกเฉียงเหนือ!J465"")+IMPORTRANGE(""https://docs.google.com/spreadsheets/d/1dCxWUCc_SKNp-qd8qsaa5pPX_-BuQqWJ_-8FnsS4Ki0/edit?usp=sharing"",""รวมกลาง!J465"")+IMPORTRANGE(""https://docs.google.com/spreadsheets/d/1uOzBKYgpuhMUe0xXQLXSct3xZ80hakAMJHdG"&amp;"Jh9616E/edit?usp=sharing"",""รวมใต้!J465"")"),2635924.6595)</f>
        <v>2635924.6595000001</v>
      </c>
      <c r="K476" s="199">
        <f t="shared" ca="1" si="131"/>
        <v>96.71992870921072</v>
      </c>
      <c r="L476" s="180"/>
      <c r="M476" s="180"/>
      <c r="N476" s="180"/>
      <c r="O476" s="180"/>
      <c r="P476" s="180"/>
    </row>
    <row r="477" spans="1:16" ht="21.75" customHeight="1" x14ac:dyDescent="0.3">
      <c r="A477" s="405"/>
      <c r="B477" s="406"/>
      <c r="C477" s="406"/>
      <c r="D477" s="407"/>
      <c r="E477" s="194"/>
      <c r="F477" s="194"/>
      <c r="G477" s="195"/>
      <c r="H477" s="424" t="s">
        <v>36</v>
      </c>
      <c r="I477" s="425">
        <f ca="1">IFERROR(__xludf.DUMMYFUNCTION("IMPORTRANGE(""https://docs.google.com/spreadsheets/d/1yGy89TWty5kAjAO5OL1fLLQ_DL8fVJHFf2LvMm8qymA/edit?usp=sharing"",""รวมเหนือ!I466"")+IMPORTRANGE(""https://docs.google.com/spreadsheets/d/1bWGR5Y7oTgtZIep2hLdTHG-chM0w9aHBSSpJHwm6lak/edit?usp=sharing"","""&amp;"รวมตะวันออกเฉียงเหนือ!I466"")+IMPORTRANGE(""https://docs.google.com/spreadsheets/d/1dCxWUCc_SKNp-qd8qsaa5pPX_-BuQqWJ_-8FnsS4Ki0/edit?usp=sharing"",""รวมกลาง!I466"")+IMPORTRANGE(""https://docs.google.com/spreadsheets/d/1uOzBKYgpuhMUe0xXQLXSct3xZ80hakAMJHdG"&amp;"Jh9616E/edit?usp=sharing"",""รวมใต้!I466"")"),295254)</f>
        <v>295254</v>
      </c>
      <c r="J477" s="426">
        <f ca="1">IFERROR(__xludf.DUMMYFUNCTION("IMPORTRANGE(""https://docs.google.com/spreadsheets/d/1yGy89TWty5kAjAO5OL1fLLQ_DL8fVJHFf2LvMm8qymA/edit?usp=sharing"",""รวมเหนือ!J466"")+IMPORTRANGE(""https://docs.google.com/spreadsheets/d/1bWGR5Y7oTgtZIep2hLdTHG-chM0w9aHBSSpJHwm6lak/edit?usp=sharing"","""&amp;"รวมตะวันออกเฉียงเหนือ!J466"")+IMPORTRANGE(""https://docs.google.com/spreadsheets/d/1dCxWUCc_SKNp-qd8qsaa5pPX_-BuQqWJ_-8FnsS4Ki0/edit?usp=sharing"",""รวมกลาง!J466"")+IMPORTRANGE(""https://docs.google.com/spreadsheets/d/1uOzBKYgpuhMUe0xXQLXSct3xZ80hakAMJHdG"&amp;"Jh9616E/edit?usp=sharing"",""รวมใต้!J466"")"),289050)</f>
        <v>289050</v>
      </c>
      <c r="K477" s="199">
        <f t="shared" ca="1" si="131"/>
        <v>97.898758357211079</v>
      </c>
      <c r="L477" s="180"/>
      <c r="M477" s="180"/>
      <c r="N477" s="180"/>
      <c r="O477" s="180"/>
      <c r="P477" s="180"/>
    </row>
    <row r="478" spans="1:16" ht="21.75" customHeight="1" x14ac:dyDescent="0.3">
      <c r="A478" s="405"/>
      <c r="B478" s="406"/>
      <c r="C478" s="406"/>
      <c r="D478" s="407"/>
      <c r="E478" s="194"/>
      <c r="F478" s="393" t="s">
        <v>167</v>
      </c>
      <c r="G478" s="427"/>
      <c r="H478" s="428" t="s">
        <v>121</v>
      </c>
      <c r="I478" s="200">
        <f ca="1">IFERROR(__xludf.DUMMYFUNCTION("IMPORTRANGE(""https://docs.google.com/spreadsheets/d/1yGy89TWty5kAjAO5OL1fLLQ_DL8fVJHFf2LvMm8qymA/edit?usp=sharing"",""รวมเหนือ!I467"")+IMPORTRANGE(""https://docs.google.com/spreadsheets/d/1bWGR5Y7oTgtZIep2hLdTHG-chM0w9aHBSSpJHwm6lak/edit?usp=sharing"","""&amp;"รวมตะวันออกเฉียงเหนือ!I467"")+IMPORTRANGE(""https://docs.google.com/spreadsheets/d/1dCxWUCc_SKNp-qd8qsaa5pPX_-BuQqWJ_-8FnsS4Ki0/edit?usp=sharing"",""รวมกลาง!I467"")+IMPORTRANGE(""https://docs.google.com/spreadsheets/d/1uOzBKYgpuhMUe0xXQLXSct3xZ80hakAMJHdG"&amp;"Jh9616E/edit?usp=sharing"",""รวมใต้!I467"")"),0)</f>
        <v>0</v>
      </c>
      <c r="J478" s="187">
        <f ca="1">IFERROR(__xludf.DUMMYFUNCTION("IMPORTRANGE(""https://docs.google.com/spreadsheets/d/1yGy89TWty5kAjAO5OL1fLLQ_DL8fVJHFf2LvMm8qymA/edit?usp=sharing"",""รวมเหนือ!J467"")+IMPORTRANGE(""https://docs.google.com/spreadsheets/d/1bWGR5Y7oTgtZIep2hLdTHG-chM0w9aHBSSpJHwm6lak/edit?usp=sharing"","""&amp;"รวมตะวันออกเฉียงเหนือ!J467"")+IMPORTRANGE(""https://docs.google.com/spreadsheets/d/1dCxWUCc_SKNp-qd8qsaa5pPX_-BuQqWJ_-8FnsS4Ki0/edit?usp=sharing"",""รวมกลาง!J467"")+IMPORTRANGE(""https://docs.google.com/spreadsheets/d/1uOzBKYgpuhMUe0xXQLXSct3xZ80hakAMJHdG"&amp;"Jh9616E/edit?usp=sharing"",""รวมใต้!J467"")"),2126629.5185)</f>
        <v>2126629.5184999998</v>
      </c>
      <c r="K478" s="163">
        <f t="shared" ca="1" si="131"/>
        <v>0</v>
      </c>
      <c r="L478" s="180"/>
      <c r="M478" s="180"/>
      <c r="N478" s="180"/>
      <c r="O478" s="180"/>
      <c r="P478" s="180"/>
    </row>
    <row r="479" spans="1:16" ht="21.75" customHeight="1" x14ac:dyDescent="0.3">
      <c r="A479" s="405"/>
      <c r="B479" s="406"/>
      <c r="C479" s="406"/>
      <c r="D479" s="407"/>
      <c r="E479" s="194"/>
      <c r="F479" s="194"/>
      <c r="G479" s="427"/>
      <c r="H479" s="428" t="s">
        <v>36</v>
      </c>
      <c r="I479" s="200">
        <f ca="1">IFERROR(__xludf.DUMMYFUNCTION("IMPORTRANGE(""https://docs.google.com/spreadsheets/d/1yGy89TWty5kAjAO5OL1fLLQ_DL8fVJHFf2LvMm8qymA/edit?usp=sharing"",""รวมเหนือ!I468"")+IMPORTRANGE(""https://docs.google.com/spreadsheets/d/1bWGR5Y7oTgtZIep2hLdTHG-chM0w9aHBSSpJHwm6lak/edit?usp=sharing"","""&amp;"รวมตะวันออกเฉียงเหนือ!I468"")+IMPORTRANGE(""https://docs.google.com/spreadsheets/d/1dCxWUCc_SKNp-qd8qsaa5pPX_-BuQqWJ_-8FnsS4Ki0/edit?usp=sharing"",""รวมกลาง!I468"")+IMPORTRANGE(""https://docs.google.com/spreadsheets/d/1uOzBKYgpuhMUe0xXQLXSct3xZ80hakAMJHdG"&amp;"Jh9616E/edit?usp=sharing"",""รวมใต้!I468"")"),0)</f>
        <v>0</v>
      </c>
      <c r="J479" s="187">
        <f ca="1">IFERROR(__xludf.DUMMYFUNCTION("IMPORTRANGE(""https://docs.google.com/spreadsheets/d/1yGy89TWty5kAjAO5OL1fLLQ_DL8fVJHFf2LvMm8qymA/edit?usp=sharing"",""รวมเหนือ!J468"")+IMPORTRANGE(""https://docs.google.com/spreadsheets/d/1bWGR5Y7oTgtZIep2hLdTHG-chM0w9aHBSSpJHwm6lak/edit?usp=sharing"","""&amp;"รวมตะวันออกเฉียงเหนือ!J468"")+IMPORTRANGE(""https://docs.google.com/spreadsheets/d/1dCxWUCc_SKNp-qd8qsaa5pPX_-BuQqWJ_-8FnsS4Ki0/edit?usp=sharing"",""รวมกลาง!J468"")+IMPORTRANGE(""https://docs.google.com/spreadsheets/d/1uOzBKYgpuhMUe0xXQLXSct3xZ80hakAMJHdG"&amp;"Jh9616E/edit?usp=sharing"",""รวมใต้!J468"")"),243145)</f>
        <v>243145</v>
      </c>
      <c r="K479" s="163">
        <f t="shared" ca="1" si="131"/>
        <v>0</v>
      </c>
      <c r="L479" s="180"/>
      <c r="M479" s="180"/>
      <c r="N479" s="180"/>
      <c r="O479" s="180"/>
      <c r="P479" s="180"/>
    </row>
    <row r="480" spans="1:16" ht="21.75" customHeight="1" x14ac:dyDescent="0.3">
      <c r="A480" s="405"/>
      <c r="B480" s="406"/>
      <c r="C480" s="406"/>
      <c r="D480" s="407"/>
      <c r="E480" s="194"/>
      <c r="F480" s="393" t="s">
        <v>168</v>
      </c>
      <c r="G480" s="427"/>
      <c r="H480" s="428" t="s">
        <v>121</v>
      </c>
      <c r="I480" s="200">
        <f ca="1">IFERROR(__xludf.DUMMYFUNCTION("IMPORTRANGE(""https://docs.google.com/spreadsheets/d/1yGy89TWty5kAjAO5OL1fLLQ_DL8fVJHFf2LvMm8qymA/edit?usp=sharing"",""รวมเหนือ!I469"")+IMPORTRANGE(""https://docs.google.com/spreadsheets/d/1bWGR5Y7oTgtZIep2hLdTHG-chM0w9aHBSSpJHwm6lak/edit?usp=sharing"","""&amp;"รวมตะวันออกเฉียงเหนือ!I469"")+IMPORTRANGE(""https://docs.google.com/spreadsheets/d/1dCxWUCc_SKNp-qd8qsaa5pPX_-BuQqWJ_-8FnsS4Ki0/edit?usp=sharing"",""รวมกลาง!I469"")+IMPORTRANGE(""https://docs.google.com/spreadsheets/d/1uOzBKYgpuhMUe0xXQLXSct3xZ80hakAMJHdG"&amp;"Jh9616E/edit?usp=sharing"",""รวมใต้!I469"")"),0)</f>
        <v>0</v>
      </c>
      <c r="J480" s="187">
        <f ca="1">IFERROR(__xludf.DUMMYFUNCTION("IMPORTRANGE(""https://docs.google.com/spreadsheets/d/1yGy89TWty5kAjAO5OL1fLLQ_DL8fVJHFf2LvMm8qymA/edit?usp=sharing"",""รวมเหนือ!J469"")+IMPORTRANGE(""https://docs.google.com/spreadsheets/d/1bWGR5Y7oTgtZIep2hLdTHG-chM0w9aHBSSpJHwm6lak/edit?usp=sharing"","""&amp;"รวมตะวันออกเฉียงเหนือ!J469"")+IMPORTRANGE(""https://docs.google.com/spreadsheets/d/1dCxWUCc_SKNp-qd8qsaa5pPX_-BuQqWJ_-8FnsS4Ki0/edit?usp=sharing"",""รวมกลาง!J469"")+IMPORTRANGE(""https://docs.google.com/spreadsheets/d/1uOzBKYgpuhMUe0xXQLXSct3xZ80hakAMJHdG"&amp;"Jh9616E/edit?usp=sharing"",""รวมใต้!J469"")"),442887.555499999)</f>
        <v>442887.55549999903</v>
      </c>
      <c r="K480" s="163">
        <f t="shared" ca="1" si="131"/>
        <v>0</v>
      </c>
      <c r="L480" s="180"/>
      <c r="M480" s="180"/>
      <c r="N480" s="180"/>
      <c r="O480" s="180"/>
      <c r="P480" s="180"/>
    </row>
    <row r="481" spans="1:16" ht="21.75" customHeight="1" x14ac:dyDescent="0.3">
      <c r="A481" s="405"/>
      <c r="B481" s="406"/>
      <c r="C481" s="406"/>
      <c r="D481" s="407"/>
      <c r="E481" s="194"/>
      <c r="F481" s="194"/>
      <c r="G481" s="427"/>
      <c r="H481" s="428" t="s">
        <v>36</v>
      </c>
      <c r="I481" s="200">
        <f ca="1">IFERROR(__xludf.DUMMYFUNCTION("IMPORTRANGE(""https://docs.google.com/spreadsheets/d/1yGy89TWty5kAjAO5OL1fLLQ_DL8fVJHFf2LvMm8qymA/edit?usp=sharing"",""รวมเหนือ!I470"")+IMPORTRANGE(""https://docs.google.com/spreadsheets/d/1bWGR5Y7oTgtZIep2hLdTHG-chM0w9aHBSSpJHwm6lak/edit?usp=sharing"","""&amp;"รวมตะวันออกเฉียงเหนือ!I470"")+IMPORTRANGE(""https://docs.google.com/spreadsheets/d/1dCxWUCc_SKNp-qd8qsaa5pPX_-BuQqWJ_-8FnsS4Ki0/edit?usp=sharing"",""รวมกลาง!I470"")+IMPORTRANGE(""https://docs.google.com/spreadsheets/d/1uOzBKYgpuhMUe0xXQLXSct3xZ80hakAMJHdG"&amp;"Jh9616E/edit?usp=sharing"",""รวมใต้!I470"")"),0)</f>
        <v>0</v>
      </c>
      <c r="J481" s="187">
        <f ca="1">IFERROR(__xludf.DUMMYFUNCTION("IMPORTRANGE(""https://docs.google.com/spreadsheets/d/1yGy89TWty5kAjAO5OL1fLLQ_DL8fVJHFf2LvMm8qymA/edit?usp=sharing"",""รวมเหนือ!J470"")+IMPORTRANGE(""https://docs.google.com/spreadsheets/d/1bWGR5Y7oTgtZIep2hLdTHG-chM0w9aHBSSpJHwm6lak/edit?usp=sharing"","""&amp;"รวมตะวันออกเฉียงเหนือ!J470"")+IMPORTRANGE(""https://docs.google.com/spreadsheets/d/1dCxWUCc_SKNp-qd8qsaa5pPX_-BuQqWJ_-8FnsS4Ki0/edit?usp=sharing"",""รวมกลาง!J470"")+IMPORTRANGE(""https://docs.google.com/spreadsheets/d/1uOzBKYgpuhMUe0xXQLXSct3xZ80hakAMJHdG"&amp;"Jh9616E/edit?usp=sharing"",""รวมใต้!J470"")"),39402)</f>
        <v>39402</v>
      </c>
      <c r="K481" s="163">
        <f t="shared" ca="1" si="131"/>
        <v>0</v>
      </c>
      <c r="L481" s="180"/>
      <c r="M481" s="180"/>
      <c r="N481" s="180"/>
      <c r="O481" s="180"/>
      <c r="P481" s="180"/>
    </row>
    <row r="482" spans="1:16" ht="21.75" customHeight="1" x14ac:dyDescent="0.3">
      <c r="A482" s="405"/>
      <c r="B482" s="406"/>
      <c r="C482" s="406"/>
      <c r="D482" s="407"/>
      <c r="E482" s="194"/>
      <c r="F482" s="393" t="s">
        <v>169</v>
      </c>
      <c r="G482" s="427"/>
      <c r="H482" s="428" t="s">
        <v>121</v>
      </c>
      <c r="I482" s="200">
        <f ca="1">IFERROR(__xludf.DUMMYFUNCTION("IMPORTRANGE(""https://docs.google.com/spreadsheets/d/1yGy89TWty5kAjAO5OL1fLLQ_DL8fVJHFf2LvMm8qymA/edit?usp=sharing"",""รวมเหนือ!I471"")+IMPORTRANGE(""https://docs.google.com/spreadsheets/d/1bWGR5Y7oTgtZIep2hLdTHG-chM0w9aHBSSpJHwm6lak/edit?usp=sharing"","""&amp;"รวมตะวันออกเฉียงเหนือ!I471"")+IMPORTRANGE(""https://docs.google.com/spreadsheets/d/1dCxWUCc_SKNp-qd8qsaa5pPX_-BuQqWJ_-8FnsS4Ki0/edit?usp=sharing"",""รวมกลาง!I471"")+IMPORTRANGE(""https://docs.google.com/spreadsheets/d/1uOzBKYgpuhMUe0xXQLXSct3xZ80hakAMJHdG"&amp;"Jh9616E/edit?usp=sharing"",""รวมใต้!I471"")"),0)</f>
        <v>0</v>
      </c>
      <c r="J482" s="187">
        <f ca="1">IFERROR(__xludf.DUMMYFUNCTION("IMPORTRANGE(""https://docs.google.com/spreadsheets/d/1yGy89TWty5kAjAO5OL1fLLQ_DL8fVJHFf2LvMm8qymA/edit?usp=sharing"",""รวมเหนือ!J471"")+IMPORTRANGE(""https://docs.google.com/spreadsheets/d/1bWGR5Y7oTgtZIep2hLdTHG-chM0w9aHBSSpJHwm6lak/edit?usp=sharing"","""&amp;"รวมตะวันออกเฉียงเหนือ!J471"")+IMPORTRANGE(""https://docs.google.com/spreadsheets/d/1dCxWUCc_SKNp-qd8qsaa5pPX_-BuQqWJ_-8FnsS4Ki0/edit?usp=sharing"",""รวมกลาง!J471"")+IMPORTRANGE(""https://docs.google.com/spreadsheets/d/1uOzBKYgpuhMUe0xXQLXSct3xZ80hakAMJHdG"&amp;"Jh9616E/edit?usp=sharing"",""รวมใต้!J471"")"),66407.5855)</f>
        <v>66407.585500000001</v>
      </c>
      <c r="K482" s="163">
        <f t="shared" ca="1" si="131"/>
        <v>0</v>
      </c>
      <c r="L482" s="180"/>
      <c r="M482" s="180"/>
      <c r="N482" s="180"/>
      <c r="O482" s="180"/>
      <c r="P482" s="180"/>
    </row>
    <row r="483" spans="1:16" ht="21.75" customHeight="1" x14ac:dyDescent="0.3">
      <c r="A483" s="405"/>
      <c r="B483" s="406"/>
      <c r="C483" s="406"/>
      <c r="D483" s="407"/>
      <c r="E483" s="194"/>
      <c r="F483" s="194"/>
      <c r="G483" s="194"/>
      <c r="H483" s="428" t="s">
        <v>36</v>
      </c>
      <c r="I483" s="200">
        <f ca="1">IFERROR(__xludf.DUMMYFUNCTION("IMPORTRANGE(""https://docs.google.com/spreadsheets/d/1yGy89TWty5kAjAO5OL1fLLQ_DL8fVJHFf2LvMm8qymA/edit?usp=sharing"",""รวมเหนือ!I472"")+IMPORTRANGE(""https://docs.google.com/spreadsheets/d/1bWGR5Y7oTgtZIep2hLdTHG-chM0w9aHBSSpJHwm6lak/edit?usp=sharing"","""&amp;"รวมตะวันออกเฉียงเหนือ!I472"")+IMPORTRANGE(""https://docs.google.com/spreadsheets/d/1dCxWUCc_SKNp-qd8qsaa5pPX_-BuQqWJ_-8FnsS4Ki0/edit?usp=sharing"",""รวมกลาง!I472"")+IMPORTRANGE(""https://docs.google.com/spreadsheets/d/1uOzBKYgpuhMUe0xXQLXSct3xZ80hakAMJHdG"&amp;"Jh9616E/edit?usp=sharing"",""รวมใต้!I472"")"),0)</f>
        <v>0</v>
      </c>
      <c r="J483" s="187">
        <f ca="1">IFERROR(__xludf.DUMMYFUNCTION("IMPORTRANGE(""https://docs.google.com/spreadsheets/d/1yGy89TWty5kAjAO5OL1fLLQ_DL8fVJHFf2LvMm8qymA/edit?usp=sharing"",""รวมเหนือ!J472"")+IMPORTRANGE(""https://docs.google.com/spreadsheets/d/1bWGR5Y7oTgtZIep2hLdTHG-chM0w9aHBSSpJHwm6lak/edit?usp=sharing"","""&amp;"รวมตะวันออกเฉียงเหนือ!J472"")+IMPORTRANGE(""https://docs.google.com/spreadsheets/d/1dCxWUCc_SKNp-qd8qsaa5pPX_-BuQqWJ_-8FnsS4Ki0/edit?usp=sharing"",""รวมกลาง!J472"")+IMPORTRANGE(""https://docs.google.com/spreadsheets/d/1uOzBKYgpuhMUe0xXQLXSct3xZ80hakAMJHdG"&amp;"Jh9616E/edit?usp=sharing"",""รวมใต้!J472"")"),6503)</f>
        <v>6503</v>
      </c>
      <c r="K483" s="163">
        <f t="shared" ca="1" si="131"/>
        <v>0</v>
      </c>
      <c r="L483" s="180"/>
      <c r="M483" s="180"/>
      <c r="N483" s="180"/>
      <c r="O483" s="180"/>
      <c r="P483" s="180"/>
    </row>
    <row r="484" spans="1:16" ht="21.75" customHeight="1" x14ac:dyDescent="0.3">
      <c r="A484" s="405"/>
      <c r="B484" s="406"/>
      <c r="C484" s="406"/>
      <c r="D484" s="407"/>
      <c r="E484" s="291" t="s">
        <v>170</v>
      </c>
      <c r="F484" s="194"/>
      <c r="G484" s="195"/>
      <c r="H484" s="424" t="s">
        <v>121</v>
      </c>
      <c r="I484" s="426">
        <f ca="1">IFERROR(__xludf.DUMMYFUNCTION("IMPORTRANGE(""https://docs.google.com/spreadsheets/d/1yGy89TWty5kAjAO5OL1fLLQ_DL8fVJHFf2LvMm8qymA/edit?usp=sharing"",""รวมเหนือ!I473"")+IMPORTRANGE(""https://docs.google.com/spreadsheets/d/1bWGR5Y7oTgtZIep2hLdTHG-chM0w9aHBSSpJHwm6lak/edit?usp=sharing"","""&amp;"รวมตะวันออกเฉียงเหนือ!I473"")+IMPORTRANGE(""https://docs.google.com/spreadsheets/d/1dCxWUCc_SKNp-qd8qsaa5pPX_-BuQqWJ_-8FnsS4Ki0/edit?usp=sharing"",""รวมกลาง!I473"")+IMPORTRANGE(""https://docs.google.com/spreadsheets/d/1uOzBKYgpuhMUe0xXQLXSct3xZ80hakAMJHdG"&amp;"Jh9616E/edit?usp=sharing"",""รวมใต้!I473"")"),2725317)</f>
        <v>2725317</v>
      </c>
      <c r="J484" s="198">
        <f ca="1">IFERROR(__xludf.DUMMYFUNCTION("IMPORTRANGE(""https://docs.google.com/spreadsheets/d/1yGy89TWty5kAjAO5OL1fLLQ_DL8fVJHFf2LvMm8qymA/edit?usp=sharing"",""รวมเหนือ!J473"")+IMPORTRANGE(""https://docs.google.com/spreadsheets/d/1bWGR5Y7oTgtZIep2hLdTHG-chM0w9aHBSSpJHwm6lak/edit?usp=sharing"","""&amp;"รวมตะวันออกเฉียงเหนือ!J473"")+IMPORTRANGE(""https://docs.google.com/spreadsheets/d/1dCxWUCc_SKNp-qd8qsaa5pPX_-BuQqWJ_-8FnsS4Ki0/edit?usp=sharing"",""รวมกลาง!J473"")+IMPORTRANGE(""https://docs.google.com/spreadsheets/d/1uOzBKYgpuhMUe0xXQLXSct3xZ80hakAMJHdG"&amp;"Jh9616E/edit?usp=sharing"",""รวมใต้!J473"")"),2394708.4325)</f>
        <v>2394708.4325000001</v>
      </c>
      <c r="K484" s="199">
        <f t="shared" ca="1" si="131"/>
        <v>87.868986708702138</v>
      </c>
      <c r="L484" s="180"/>
      <c r="M484" s="180"/>
      <c r="N484" s="180"/>
      <c r="O484" s="180"/>
      <c r="P484" s="180"/>
    </row>
    <row r="485" spans="1:16" ht="21.75" customHeight="1" x14ac:dyDescent="0.3">
      <c r="A485" s="405"/>
      <c r="B485" s="406"/>
      <c r="C485" s="406"/>
      <c r="D485" s="407"/>
      <c r="E485" s="194"/>
      <c r="F485" s="194"/>
      <c r="G485" s="195"/>
      <c r="H485" s="424" t="s">
        <v>36</v>
      </c>
      <c r="I485" s="425">
        <f ca="1">IFERROR(__xludf.DUMMYFUNCTION("IMPORTRANGE(""https://docs.google.com/spreadsheets/d/1yGy89TWty5kAjAO5OL1fLLQ_DL8fVJHFf2LvMm8qymA/edit?usp=sharing"",""รวมเหนือ!I474"")+IMPORTRANGE(""https://docs.google.com/spreadsheets/d/1bWGR5Y7oTgtZIep2hLdTHG-chM0w9aHBSSpJHwm6lak/edit?usp=sharing"","""&amp;"รวมตะวันออกเฉียงเหนือ!I474"")+IMPORTRANGE(""https://docs.google.com/spreadsheets/d/1dCxWUCc_SKNp-qd8qsaa5pPX_-BuQqWJ_-8FnsS4Ki0/edit?usp=sharing"",""รวมกลาง!I474"")+IMPORTRANGE(""https://docs.google.com/spreadsheets/d/1uOzBKYgpuhMUe0xXQLXSct3xZ80hakAMJHdG"&amp;"Jh9616E/edit?usp=sharing"",""รวมใต้!I474"")"),295254)</f>
        <v>295254</v>
      </c>
      <c r="J485" s="198">
        <f ca="1">IFERROR(__xludf.DUMMYFUNCTION("IMPORTRANGE(""https://docs.google.com/spreadsheets/d/1yGy89TWty5kAjAO5OL1fLLQ_DL8fVJHFf2LvMm8qymA/edit?usp=sharing"",""รวมเหนือ!J474"")+IMPORTRANGE(""https://docs.google.com/spreadsheets/d/1bWGR5Y7oTgtZIep2hLdTHG-chM0w9aHBSSpJHwm6lak/edit?usp=sharing"","""&amp;"รวมตะวันออกเฉียงเหนือ!J474"")+IMPORTRANGE(""https://docs.google.com/spreadsheets/d/1dCxWUCc_SKNp-qd8qsaa5pPX_-BuQqWJ_-8FnsS4Ki0/edit?usp=sharing"",""รวมกลาง!J474"")+IMPORTRANGE(""https://docs.google.com/spreadsheets/d/1uOzBKYgpuhMUe0xXQLXSct3xZ80hakAMJHdG"&amp;"Jh9616E/edit?usp=sharing"",""รวมใต้!J474"")"),266289)</f>
        <v>266289</v>
      </c>
      <c r="K485" s="199">
        <f t="shared" ca="1" si="131"/>
        <v>90.189802678371848</v>
      </c>
      <c r="L485" s="180"/>
      <c r="M485" s="180"/>
      <c r="N485" s="180"/>
      <c r="O485" s="180"/>
      <c r="P485" s="180"/>
    </row>
    <row r="486" spans="1:16" ht="21.75" customHeight="1" x14ac:dyDescent="0.3">
      <c r="A486" s="405"/>
      <c r="B486" s="406"/>
      <c r="C486" s="406"/>
      <c r="D486" s="407"/>
      <c r="E486" s="194"/>
      <c r="F486" s="193" t="s">
        <v>171</v>
      </c>
      <c r="G486" s="427"/>
      <c r="H486" s="428" t="s">
        <v>121</v>
      </c>
      <c r="I486" s="200">
        <f ca="1">IFERROR(__xludf.DUMMYFUNCTION("IMPORTRANGE(""https://docs.google.com/spreadsheets/d/1yGy89TWty5kAjAO5OL1fLLQ_DL8fVJHFf2LvMm8qymA/edit?usp=sharing"",""รวมเหนือ!I475"")+IMPORTRANGE(""https://docs.google.com/spreadsheets/d/1bWGR5Y7oTgtZIep2hLdTHG-chM0w9aHBSSpJHwm6lak/edit?usp=sharing"","""&amp;"รวมตะวันออกเฉียงเหนือ!I475"")+IMPORTRANGE(""https://docs.google.com/spreadsheets/d/1dCxWUCc_SKNp-qd8qsaa5pPX_-BuQqWJ_-8FnsS4Ki0/edit?usp=sharing"",""รวมกลาง!I475"")+IMPORTRANGE(""https://docs.google.com/spreadsheets/d/1uOzBKYgpuhMUe0xXQLXSct3xZ80hakAMJHdG"&amp;"Jh9616E/edit?usp=sharing"",""รวมใต้!I475"")"),0)</f>
        <v>0</v>
      </c>
      <c r="J486" s="187">
        <f ca="1">IFERROR(__xludf.DUMMYFUNCTION("IMPORTRANGE(""https://docs.google.com/spreadsheets/d/1yGy89TWty5kAjAO5OL1fLLQ_DL8fVJHFf2LvMm8qymA/edit?usp=sharing"",""รวมเหนือ!J475"")+IMPORTRANGE(""https://docs.google.com/spreadsheets/d/1bWGR5Y7oTgtZIep2hLdTHG-chM0w9aHBSSpJHwm6lak/edit?usp=sharing"","""&amp;"รวมตะวันออกเฉียงเหนือ!J475"")+IMPORTRANGE(""https://docs.google.com/spreadsheets/d/1dCxWUCc_SKNp-qd8qsaa5pPX_-BuQqWJ_-8FnsS4Ki0/edit?usp=sharing"",""รวมกลาง!J475"")+IMPORTRANGE(""https://docs.google.com/spreadsheets/d/1uOzBKYgpuhMUe0xXQLXSct3xZ80hakAMJHdG"&amp;"Jh9616E/edit?usp=sharing"",""รวมใต้!J475"")"),2024573.4725)</f>
        <v>2024573.4724999999</v>
      </c>
      <c r="K486" s="163">
        <f t="shared" ca="1" si="131"/>
        <v>0</v>
      </c>
      <c r="L486" s="180"/>
      <c r="M486" s="180"/>
      <c r="N486" s="180"/>
      <c r="O486" s="180"/>
      <c r="P486" s="180"/>
    </row>
    <row r="487" spans="1:16" ht="21.75" customHeight="1" x14ac:dyDescent="0.3">
      <c r="A487" s="405"/>
      <c r="B487" s="406"/>
      <c r="C487" s="406"/>
      <c r="D487" s="407"/>
      <c r="E487" s="194"/>
      <c r="F487" s="194"/>
      <c r="G487" s="427"/>
      <c r="H487" s="428" t="s">
        <v>36</v>
      </c>
      <c r="I487" s="200">
        <f ca="1">IFERROR(__xludf.DUMMYFUNCTION("IMPORTRANGE(""https://docs.google.com/spreadsheets/d/1yGy89TWty5kAjAO5OL1fLLQ_DL8fVJHFf2LvMm8qymA/edit?usp=sharing"",""รวมเหนือ!I476"")+IMPORTRANGE(""https://docs.google.com/spreadsheets/d/1bWGR5Y7oTgtZIep2hLdTHG-chM0w9aHBSSpJHwm6lak/edit?usp=sharing"","""&amp;"รวมตะวันออกเฉียงเหนือ!I476"")+IMPORTRANGE(""https://docs.google.com/spreadsheets/d/1dCxWUCc_SKNp-qd8qsaa5pPX_-BuQqWJ_-8FnsS4Ki0/edit?usp=sharing"",""รวมกลาง!I476"")+IMPORTRANGE(""https://docs.google.com/spreadsheets/d/1uOzBKYgpuhMUe0xXQLXSct3xZ80hakAMJHdG"&amp;"Jh9616E/edit?usp=sharing"",""รวมใต้!I476"")"),0)</f>
        <v>0</v>
      </c>
      <c r="J487" s="187">
        <f ca="1">IFERROR(__xludf.DUMMYFUNCTION("IMPORTRANGE(""https://docs.google.com/spreadsheets/d/1yGy89TWty5kAjAO5OL1fLLQ_DL8fVJHFf2LvMm8qymA/edit?usp=sharing"",""รวมเหนือ!J476"")+IMPORTRANGE(""https://docs.google.com/spreadsheets/d/1bWGR5Y7oTgtZIep2hLdTHG-chM0w9aHBSSpJHwm6lak/edit?usp=sharing"","""&amp;"รวมตะวันออกเฉียงเหนือ!J476"")+IMPORTRANGE(""https://docs.google.com/spreadsheets/d/1dCxWUCc_SKNp-qd8qsaa5pPX_-BuQqWJ_-8FnsS4Ki0/edit?usp=sharing"",""รวมกลาง!J476"")+IMPORTRANGE(""https://docs.google.com/spreadsheets/d/1uOzBKYgpuhMUe0xXQLXSct3xZ80hakAMJHdG"&amp;"Jh9616E/edit?usp=sharing"",""รวมใต้!J476"")"),232572)</f>
        <v>232572</v>
      </c>
      <c r="K487" s="163">
        <f t="shared" ca="1" si="131"/>
        <v>0</v>
      </c>
      <c r="L487" s="180"/>
      <c r="M487" s="180"/>
      <c r="N487" s="180"/>
      <c r="O487" s="180"/>
      <c r="P487" s="180"/>
    </row>
    <row r="488" spans="1:16" ht="21.75" customHeight="1" x14ac:dyDescent="0.3">
      <c r="A488" s="405"/>
      <c r="B488" s="406"/>
      <c r="C488" s="406"/>
      <c r="D488" s="407"/>
      <c r="E488" s="194"/>
      <c r="F488" s="193" t="s">
        <v>172</v>
      </c>
      <c r="G488" s="427"/>
      <c r="H488" s="428" t="s">
        <v>121</v>
      </c>
      <c r="I488" s="200">
        <f ca="1">IFERROR(__xludf.DUMMYFUNCTION("IMPORTRANGE(""https://docs.google.com/spreadsheets/d/1yGy89TWty5kAjAO5OL1fLLQ_DL8fVJHFf2LvMm8qymA/edit?usp=sharing"",""รวมเหนือ!I477"")+IMPORTRANGE(""https://docs.google.com/spreadsheets/d/1bWGR5Y7oTgtZIep2hLdTHG-chM0w9aHBSSpJHwm6lak/edit?usp=sharing"","""&amp;"รวมตะวันออกเฉียงเหนือ!I477"")+IMPORTRANGE(""https://docs.google.com/spreadsheets/d/1dCxWUCc_SKNp-qd8qsaa5pPX_-BuQqWJ_-8FnsS4Ki0/edit?usp=sharing"",""รวมกลาง!I477"")+IMPORTRANGE(""https://docs.google.com/spreadsheets/d/1uOzBKYgpuhMUe0xXQLXSct3xZ80hakAMJHdG"&amp;"Jh9616E/edit?usp=sharing"",""รวมใต้!I477"")"),0)</f>
        <v>0</v>
      </c>
      <c r="J488" s="187">
        <f ca="1">IFERROR(__xludf.DUMMYFUNCTION("IMPORTRANGE(""https://docs.google.com/spreadsheets/d/1yGy89TWty5kAjAO5OL1fLLQ_DL8fVJHFf2LvMm8qymA/edit?usp=sharing"",""รวมเหนือ!J477"")+IMPORTRANGE(""https://docs.google.com/spreadsheets/d/1bWGR5Y7oTgtZIep2hLdTHG-chM0w9aHBSSpJHwm6lak/edit?usp=sharing"","""&amp;"รวมตะวันออกเฉียงเหนือ!J477"")+IMPORTRANGE(""https://docs.google.com/spreadsheets/d/1dCxWUCc_SKNp-qd8qsaa5pPX_-BuQqWJ_-8FnsS4Ki0/edit?usp=sharing"",""รวมกลาง!J477"")+IMPORTRANGE(""https://docs.google.com/spreadsheets/d/1uOzBKYgpuhMUe0xXQLXSct3xZ80hakAMJHdG"&amp;"Jh9616E/edit?usp=sharing"",""รวมใต้!J477"")"),310097.0225)</f>
        <v>310097.02250000002</v>
      </c>
      <c r="K488" s="163">
        <f t="shared" ca="1" si="131"/>
        <v>0</v>
      </c>
      <c r="L488" s="180"/>
      <c r="M488" s="180"/>
      <c r="N488" s="180"/>
      <c r="O488" s="180"/>
      <c r="P488" s="180"/>
    </row>
    <row r="489" spans="1:16" ht="21.75" customHeight="1" x14ac:dyDescent="0.3">
      <c r="A489" s="405"/>
      <c r="B489" s="406"/>
      <c r="C489" s="406"/>
      <c r="D489" s="407"/>
      <c r="E489" s="194"/>
      <c r="F489" s="194"/>
      <c r="G489" s="427"/>
      <c r="H489" s="428" t="s">
        <v>36</v>
      </c>
      <c r="I489" s="200">
        <f ca="1">IFERROR(__xludf.DUMMYFUNCTION("IMPORTRANGE(""https://docs.google.com/spreadsheets/d/1yGy89TWty5kAjAO5OL1fLLQ_DL8fVJHFf2LvMm8qymA/edit?usp=sharing"",""รวมเหนือ!I478"")+IMPORTRANGE(""https://docs.google.com/spreadsheets/d/1bWGR5Y7oTgtZIep2hLdTHG-chM0w9aHBSSpJHwm6lak/edit?usp=sharing"","""&amp;"รวมตะวันออกเฉียงเหนือ!I478"")+IMPORTRANGE(""https://docs.google.com/spreadsheets/d/1dCxWUCc_SKNp-qd8qsaa5pPX_-BuQqWJ_-8FnsS4Ki0/edit?usp=sharing"",""รวมกลาง!I478"")+IMPORTRANGE(""https://docs.google.com/spreadsheets/d/1uOzBKYgpuhMUe0xXQLXSct3xZ80hakAMJHdG"&amp;"Jh9616E/edit?usp=sharing"",""รวมใต้!I478"")"),0)</f>
        <v>0</v>
      </c>
      <c r="J489" s="187">
        <f ca="1">IFERROR(__xludf.DUMMYFUNCTION("IMPORTRANGE(""https://docs.google.com/spreadsheets/d/1yGy89TWty5kAjAO5OL1fLLQ_DL8fVJHFf2LvMm8qymA/edit?usp=sharing"",""รวมเหนือ!J478"")+IMPORTRANGE(""https://docs.google.com/spreadsheets/d/1bWGR5Y7oTgtZIep2hLdTHG-chM0w9aHBSSpJHwm6lak/edit?usp=sharing"","""&amp;"รวมตะวันออกเฉียงเหนือ!J478"")+IMPORTRANGE(""https://docs.google.com/spreadsheets/d/1dCxWUCc_SKNp-qd8qsaa5pPX_-BuQqWJ_-8FnsS4Ki0/edit?usp=sharing"",""รวมกลาง!J478"")+IMPORTRANGE(""https://docs.google.com/spreadsheets/d/1uOzBKYgpuhMUe0xXQLXSct3xZ80hakAMJHdG"&amp;"Jh9616E/edit?usp=sharing"",""รวมใต้!J478"")"),27694)</f>
        <v>27694</v>
      </c>
      <c r="K489" s="163">
        <f t="shared" ca="1" si="131"/>
        <v>0</v>
      </c>
      <c r="L489" s="180"/>
      <c r="M489" s="180"/>
      <c r="N489" s="180"/>
      <c r="O489" s="180"/>
      <c r="P489" s="180"/>
    </row>
    <row r="490" spans="1:16" ht="21.75" customHeight="1" x14ac:dyDescent="0.3">
      <c r="A490" s="405"/>
      <c r="B490" s="406"/>
      <c r="C490" s="406"/>
      <c r="D490" s="407"/>
      <c r="E490" s="194"/>
      <c r="F490" s="193" t="s">
        <v>173</v>
      </c>
      <c r="G490" s="427"/>
      <c r="H490" s="428" t="s">
        <v>121</v>
      </c>
      <c r="I490" s="200">
        <f ca="1">IFERROR(__xludf.DUMMYFUNCTION("IMPORTRANGE(""https://docs.google.com/spreadsheets/d/1yGy89TWty5kAjAO5OL1fLLQ_DL8fVJHFf2LvMm8qymA/edit?usp=sharing"",""รวมเหนือ!I479"")+IMPORTRANGE(""https://docs.google.com/spreadsheets/d/1bWGR5Y7oTgtZIep2hLdTHG-chM0w9aHBSSpJHwm6lak/edit?usp=sharing"","""&amp;"รวมตะวันออกเฉียงเหนือ!I479"")+IMPORTRANGE(""https://docs.google.com/spreadsheets/d/1dCxWUCc_SKNp-qd8qsaa5pPX_-BuQqWJ_-8FnsS4Ki0/edit?usp=sharing"",""รวมกลาง!I479"")+IMPORTRANGE(""https://docs.google.com/spreadsheets/d/1uOzBKYgpuhMUe0xXQLXSct3xZ80hakAMJHdG"&amp;"Jh9616E/edit?usp=sharing"",""รวมใต้!I479"")"),0)</f>
        <v>0</v>
      </c>
      <c r="J490" s="187">
        <f ca="1">IFERROR(__xludf.DUMMYFUNCTION("IMPORTRANGE(""https://docs.google.com/spreadsheets/d/1yGy89TWty5kAjAO5OL1fLLQ_DL8fVJHFf2LvMm8qymA/edit?usp=sharing"",""รวมเหนือ!J479"")+IMPORTRANGE(""https://docs.google.com/spreadsheets/d/1bWGR5Y7oTgtZIep2hLdTHG-chM0w9aHBSSpJHwm6lak/edit?usp=sharing"","""&amp;"รวมตะวันออกเฉียงเหนือ!J479"")+IMPORTRANGE(""https://docs.google.com/spreadsheets/d/1dCxWUCc_SKNp-qd8qsaa5pPX_-BuQqWJ_-8FnsS4Ki0/edit?usp=sharing"",""รวมกลาง!J479"")+IMPORTRANGE(""https://docs.google.com/spreadsheets/d/1uOzBKYgpuhMUe0xXQLXSct3xZ80hakAMJHdG"&amp;"Jh9616E/edit?usp=sharing"",""รวมใต้!J479"")"),60037.9374999999)</f>
        <v>60037.937499999898</v>
      </c>
      <c r="K490" s="163">
        <f t="shared" ca="1" si="131"/>
        <v>0</v>
      </c>
      <c r="L490" s="180"/>
      <c r="M490" s="180"/>
      <c r="N490" s="180"/>
      <c r="O490" s="180"/>
      <c r="P490" s="180"/>
    </row>
    <row r="491" spans="1:16" ht="21.75" customHeight="1" x14ac:dyDescent="0.3">
      <c r="A491" s="405"/>
      <c r="B491" s="406"/>
      <c r="C491" s="406"/>
      <c r="D491" s="407"/>
      <c r="E491" s="194"/>
      <c r="F491" s="194"/>
      <c r="G491" s="195"/>
      <c r="H491" s="428" t="s">
        <v>36</v>
      </c>
      <c r="I491" s="200">
        <f ca="1">IFERROR(__xludf.DUMMYFUNCTION("IMPORTRANGE(""https://docs.google.com/spreadsheets/d/1yGy89TWty5kAjAO5OL1fLLQ_DL8fVJHFf2LvMm8qymA/edit?usp=sharing"",""รวมเหนือ!I480"")+IMPORTRANGE(""https://docs.google.com/spreadsheets/d/1bWGR5Y7oTgtZIep2hLdTHG-chM0w9aHBSSpJHwm6lak/edit?usp=sharing"","""&amp;"รวมตะวันออกเฉียงเหนือ!I480"")+IMPORTRANGE(""https://docs.google.com/spreadsheets/d/1dCxWUCc_SKNp-qd8qsaa5pPX_-BuQqWJ_-8FnsS4Ki0/edit?usp=sharing"",""รวมกลาง!I480"")+IMPORTRANGE(""https://docs.google.com/spreadsheets/d/1uOzBKYgpuhMUe0xXQLXSct3xZ80hakAMJHdG"&amp;"Jh9616E/edit?usp=sharing"",""รวมใต้!I480"")"),0)</f>
        <v>0</v>
      </c>
      <c r="J491" s="187">
        <f ca="1">IFERROR(__xludf.DUMMYFUNCTION("IMPORTRANGE(""https://docs.google.com/spreadsheets/d/1yGy89TWty5kAjAO5OL1fLLQ_DL8fVJHFf2LvMm8qymA/edit?usp=sharing"",""รวมเหนือ!J480"")+IMPORTRANGE(""https://docs.google.com/spreadsheets/d/1bWGR5Y7oTgtZIep2hLdTHG-chM0w9aHBSSpJHwm6lak/edit?usp=sharing"","""&amp;"รวมตะวันออกเฉียงเหนือ!J480"")+IMPORTRANGE(""https://docs.google.com/spreadsheets/d/1dCxWUCc_SKNp-qd8qsaa5pPX_-BuQqWJ_-8FnsS4Ki0/edit?usp=sharing"",""รวมกลาง!J480"")+IMPORTRANGE(""https://docs.google.com/spreadsheets/d/1uOzBKYgpuhMUe0xXQLXSct3xZ80hakAMJHdG"&amp;"Jh9616E/edit?usp=sharing"",""รวมใต้!J480"")"),6023)</f>
        <v>6023</v>
      </c>
      <c r="K491" s="163">
        <f t="shared" ca="1" si="131"/>
        <v>0</v>
      </c>
      <c r="L491" s="180"/>
      <c r="M491" s="180"/>
      <c r="N491" s="180"/>
      <c r="O491" s="180"/>
      <c r="P491" s="180"/>
    </row>
    <row r="492" spans="1:16" ht="21.75" customHeight="1" x14ac:dyDescent="0.3">
      <c r="A492" s="429"/>
      <c r="B492" s="430"/>
      <c r="C492" s="430"/>
      <c r="D492" s="431"/>
      <c r="E492" s="432" t="s">
        <v>174</v>
      </c>
      <c r="F492" s="433"/>
      <c r="G492" s="434"/>
      <c r="H492" s="435" t="s">
        <v>121</v>
      </c>
      <c r="I492" s="426">
        <f ca="1">IFERROR(__xludf.DUMMYFUNCTION("IMPORTRANGE(""https://docs.google.com/spreadsheets/d/1yGy89TWty5kAjAO5OL1fLLQ_DL8fVJHFf2LvMm8qymA/edit?usp=sharing"",""รวมเหนือ!I481"")+IMPORTRANGE(""https://docs.google.com/spreadsheets/d/1bWGR5Y7oTgtZIep2hLdTHG-chM0w9aHBSSpJHwm6lak/edit?usp=sharing"","""&amp;"รวมตะวันออกเฉียงเหนือ!I481"")+IMPORTRANGE(""https://docs.google.com/spreadsheets/d/1dCxWUCc_SKNp-qd8qsaa5pPX_-BuQqWJ_-8FnsS4Ki0/edit?usp=sharing"",""รวมกลาง!I481"")+IMPORTRANGE(""https://docs.google.com/spreadsheets/d/1uOzBKYgpuhMUe0xXQLXSct3xZ80hakAMJHdG"&amp;"Jh9616E/edit?usp=sharing"",""รวมใต้!I481"")"),2725317)</f>
        <v>2725317</v>
      </c>
      <c r="J492" s="426">
        <f ca="1">IFERROR(__xludf.DUMMYFUNCTION("IMPORTRANGE(""https://docs.google.com/spreadsheets/d/1yGy89TWty5kAjAO5OL1fLLQ_DL8fVJHFf2LvMm8qymA/edit?usp=sharing"",""รวมเหนือ!J481"")+IMPORTRANGE(""https://docs.google.com/spreadsheets/d/1bWGR5Y7oTgtZIep2hLdTHG-chM0w9aHBSSpJHwm6lak/edit?usp=sharing"","""&amp;"รวมตะวันออกเฉียงเหนือ!J481"")+IMPORTRANGE(""https://docs.google.com/spreadsheets/d/1dCxWUCc_SKNp-qd8qsaa5pPX_-BuQqWJ_-8FnsS4Ki0/edit?usp=sharing"",""รวมกลาง!J481"")+IMPORTRANGE(""https://docs.google.com/spreadsheets/d/1uOzBKYgpuhMUe0xXQLXSct3xZ80hakAMJHdG"&amp;"Jh9616E/edit?usp=sharing"",""รวมใต้!J481"")"),1080219.5975)</f>
        <v>1080219.5974999999</v>
      </c>
      <c r="K492" s="199">
        <f t="shared" ca="1" si="131"/>
        <v>39.636475224716975</v>
      </c>
      <c r="L492" s="436"/>
      <c r="M492" s="436"/>
      <c r="N492" s="436"/>
      <c r="O492" s="436"/>
      <c r="P492" s="436"/>
    </row>
    <row r="493" spans="1:16" ht="21.75" customHeight="1" x14ac:dyDescent="0.3">
      <c r="A493" s="405"/>
      <c r="B493" s="406"/>
      <c r="C493" s="406"/>
      <c r="D493" s="407"/>
      <c r="E493" s="194"/>
      <c r="F493" s="194"/>
      <c r="G493" s="195"/>
      <c r="H493" s="424" t="s">
        <v>36</v>
      </c>
      <c r="I493" s="425">
        <f ca="1">IFERROR(__xludf.DUMMYFUNCTION("IMPORTRANGE(""https://docs.google.com/spreadsheets/d/1yGy89TWty5kAjAO5OL1fLLQ_DL8fVJHFf2LvMm8qymA/edit?usp=sharing"",""รวมเหนือ!I482"")+IMPORTRANGE(""https://docs.google.com/spreadsheets/d/1bWGR5Y7oTgtZIep2hLdTHG-chM0w9aHBSSpJHwm6lak/edit?usp=sharing"","""&amp;"รวมตะวันออกเฉียงเหนือ!I482"")+IMPORTRANGE(""https://docs.google.com/spreadsheets/d/1dCxWUCc_SKNp-qd8qsaa5pPX_-BuQqWJ_-8FnsS4Ki0/edit?usp=sharing"",""รวมกลาง!I482"")+IMPORTRANGE(""https://docs.google.com/spreadsheets/d/1uOzBKYgpuhMUe0xXQLXSct3xZ80hakAMJHdG"&amp;"Jh9616E/edit?usp=sharing"",""รวมใต้!I482"")"),295254)</f>
        <v>295254</v>
      </c>
      <c r="J493" s="426">
        <f ca="1">IFERROR(__xludf.DUMMYFUNCTION("IMPORTRANGE(""https://docs.google.com/spreadsheets/d/1yGy89TWty5kAjAO5OL1fLLQ_DL8fVJHFf2LvMm8qymA/edit?usp=sharing"",""รวมเหนือ!J482"")+IMPORTRANGE(""https://docs.google.com/spreadsheets/d/1bWGR5Y7oTgtZIep2hLdTHG-chM0w9aHBSSpJHwm6lak/edit?usp=sharing"","""&amp;"รวมตะวันออกเฉียงเหนือ!J482"")+IMPORTRANGE(""https://docs.google.com/spreadsheets/d/1dCxWUCc_SKNp-qd8qsaa5pPX_-BuQqWJ_-8FnsS4Ki0/edit?usp=sharing"",""รวมกลาง!J482"")+IMPORTRANGE(""https://docs.google.com/spreadsheets/d/1uOzBKYgpuhMUe0xXQLXSct3xZ80hakAMJHdG"&amp;"Jh9616E/edit?usp=sharing"",""รวมใต้!J482"")"),125996)</f>
        <v>125996</v>
      </c>
      <c r="K493" s="199">
        <f t="shared" ca="1" si="131"/>
        <v>42.673765639076862</v>
      </c>
      <c r="L493" s="180"/>
      <c r="M493" s="180"/>
      <c r="N493" s="180"/>
      <c r="O493" s="180"/>
      <c r="P493" s="180"/>
    </row>
    <row r="494" spans="1:16" ht="21.75" customHeight="1" x14ac:dyDescent="0.3">
      <c r="A494" s="405"/>
      <c r="B494" s="406"/>
      <c r="C494" s="406"/>
      <c r="D494" s="407"/>
      <c r="E494" s="194"/>
      <c r="F494" s="193" t="s">
        <v>175</v>
      </c>
      <c r="G494" s="427"/>
      <c r="H494" s="428" t="s">
        <v>121</v>
      </c>
      <c r="I494" s="200">
        <f ca="1">IFERROR(__xludf.DUMMYFUNCTION("IMPORTRANGE(""https://docs.google.com/spreadsheets/d/1yGy89TWty5kAjAO5OL1fLLQ_DL8fVJHFf2LvMm8qymA/edit?usp=sharing"",""รวมเหนือ!I483"")+IMPORTRANGE(""https://docs.google.com/spreadsheets/d/1bWGR5Y7oTgtZIep2hLdTHG-chM0w9aHBSSpJHwm6lak/edit?usp=sharing"","""&amp;"รวมตะวันออกเฉียงเหนือ!I483"")+IMPORTRANGE(""https://docs.google.com/spreadsheets/d/1dCxWUCc_SKNp-qd8qsaa5pPX_-BuQqWJ_-8FnsS4Ki0/edit?usp=sharing"",""รวมกลาง!I483"")+IMPORTRANGE(""https://docs.google.com/spreadsheets/d/1uOzBKYgpuhMUe0xXQLXSct3xZ80hakAMJHdG"&amp;"Jh9616E/edit?usp=sharing"",""รวมใต้!I483"")"),0)</f>
        <v>0</v>
      </c>
      <c r="J494" s="187">
        <f ca="1">IFERROR(__xludf.DUMMYFUNCTION("IMPORTRANGE(""https://docs.google.com/spreadsheets/d/1yGy89TWty5kAjAO5OL1fLLQ_DL8fVJHFf2LvMm8qymA/edit?usp=sharing"",""รวมเหนือ!J483"")+IMPORTRANGE(""https://docs.google.com/spreadsheets/d/1bWGR5Y7oTgtZIep2hLdTHG-chM0w9aHBSSpJHwm6lak/edit?usp=sharing"","""&amp;"รวมตะวันออกเฉียงเหนือ!J483"")+IMPORTRANGE(""https://docs.google.com/spreadsheets/d/1dCxWUCc_SKNp-qd8qsaa5pPX_-BuQqWJ_-8FnsS4Ki0/edit?usp=sharing"",""รวมกลาง!J483"")+IMPORTRANGE(""https://docs.google.com/spreadsheets/d/1uOzBKYgpuhMUe0xXQLXSct3xZ80hakAMJHdG"&amp;"Jh9616E/edit?usp=sharing"",""รวมใต้!J483"")"),950525.455)</f>
        <v>950525.45499999996</v>
      </c>
      <c r="K494" s="163">
        <f t="shared" ca="1" si="131"/>
        <v>0</v>
      </c>
      <c r="L494" s="180"/>
      <c r="M494" s="180"/>
      <c r="N494" s="180"/>
      <c r="O494" s="180"/>
      <c r="P494" s="180"/>
    </row>
    <row r="495" spans="1:16" ht="21.75" customHeight="1" x14ac:dyDescent="0.3">
      <c r="A495" s="405"/>
      <c r="B495" s="406"/>
      <c r="C495" s="406"/>
      <c r="D495" s="407"/>
      <c r="E495" s="194"/>
      <c r="F495" s="194"/>
      <c r="G495" s="427"/>
      <c r="H495" s="428" t="s">
        <v>36</v>
      </c>
      <c r="I495" s="200">
        <f ca="1">IFERROR(__xludf.DUMMYFUNCTION("IMPORTRANGE(""https://docs.google.com/spreadsheets/d/1yGy89TWty5kAjAO5OL1fLLQ_DL8fVJHFf2LvMm8qymA/edit?usp=sharing"",""รวมเหนือ!I484"")+IMPORTRANGE(""https://docs.google.com/spreadsheets/d/1bWGR5Y7oTgtZIep2hLdTHG-chM0w9aHBSSpJHwm6lak/edit?usp=sharing"","""&amp;"รวมตะวันออกเฉียงเหนือ!I484"")+IMPORTRANGE(""https://docs.google.com/spreadsheets/d/1dCxWUCc_SKNp-qd8qsaa5pPX_-BuQqWJ_-8FnsS4Ki0/edit?usp=sharing"",""รวมกลาง!I484"")+IMPORTRANGE(""https://docs.google.com/spreadsheets/d/1uOzBKYgpuhMUe0xXQLXSct3xZ80hakAMJHdG"&amp;"Jh9616E/edit?usp=sharing"",""รวมใต้!I484"")"),0)</f>
        <v>0</v>
      </c>
      <c r="J495" s="187">
        <f ca="1">IFERROR(__xludf.DUMMYFUNCTION("IMPORTRANGE(""https://docs.google.com/spreadsheets/d/1yGy89TWty5kAjAO5OL1fLLQ_DL8fVJHFf2LvMm8qymA/edit?usp=sharing"",""รวมเหนือ!J484"")+IMPORTRANGE(""https://docs.google.com/spreadsheets/d/1bWGR5Y7oTgtZIep2hLdTHG-chM0w9aHBSSpJHwm6lak/edit?usp=sharing"","""&amp;"รวมตะวันออกเฉียงเหนือ!J484"")+IMPORTRANGE(""https://docs.google.com/spreadsheets/d/1dCxWUCc_SKNp-qd8qsaa5pPX_-BuQqWJ_-8FnsS4Ki0/edit?usp=sharing"",""รวมกลาง!J484"")+IMPORTRANGE(""https://docs.google.com/spreadsheets/d/1uOzBKYgpuhMUe0xXQLXSct3xZ80hakAMJHdG"&amp;"Jh9616E/edit?usp=sharing"",""รวมใต้!J484"")"),113470)</f>
        <v>113470</v>
      </c>
      <c r="K495" s="163">
        <f t="shared" ca="1" si="131"/>
        <v>0</v>
      </c>
      <c r="L495" s="180"/>
      <c r="M495" s="180"/>
      <c r="N495" s="180"/>
      <c r="O495" s="180"/>
      <c r="P495" s="180"/>
    </row>
    <row r="496" spans="1:16" ht="21.75" customHeight="1" x14ac:dyDescent="0.3">
      <c r="A496" s="405"/>
      <c r="B496" s="406"/>
      <c r="C496" s="406"/>
      <c r="D496" s="407"/>
      <c r="E496" s="194"/>
      <c r="F496" s="193" t="s">
        <v>176</v>
      </c>
      <c r="G496" s="427"/>
      <c r="H496" s="428" t="s">
        <v>121</v>
      </c>
      <c r="I496" s="200">
        <f ca="1">IFERROR(__xludf.DUMMYFUNCTION("IMPORTRANGE(""https://docs.google.com/spreadsheets/d/1yGy89TWty5kAjAO5OL1fLLQ_DL8fVJHFf2LvMm8qymA/edit?usp=sharing"",""รวมเหนือ!I485"")+IMPORTRANGE(""https://docs.google.com/spreadsheets/d/1bWGR5Y7oTgtZIep2hLdTHG-chM0w9aHBSSpJHwm6lak/edit?usp=sharing"","""&amp;"รวมตะวันออกเฉียงเหนือ!I485"")+IMPORTRANGE(""https://docs.google.com/spreadsheets/d/1dCxWUCc_SKNp-qd8qsaa5pPX_-BuQqWJ_-8FnsS4Ki0/edit?usp=sharing"",""รวมกลาง!I485"")+IMPORTRANGE(""https://docs.google.com/spreadsheets/d/1uOzBKYgpuhMUe0xXQLXSct3xZ80hakAMJHdG"&amp;"Jh9616E/edit?usp=sharing"",""รวมใต้!I485"")"),0)</f>
        <v>0</v>
      </c>
      <c r="J496" s="187">
        <f ca="1">IFERROR(__xludf.DUMMYFUNCTION("IMPORTRANGE(""https://docs.google.com/spreadsheets/d/1yGy89TWty5kAjAO5OL1fLLQ_DL8fVJHFf2LvMm8qymA/edit?usp=sharing"",""รวมเหนือ!J485"")+IMPORTRANGE(""https://docs.google.com/spreadsheets/d/1bWGR5Y7oTgtZIep2hLdTHG-chM0w9aHBSSpJHwm6lak/edit?usp=sharing"","""&amp;"รวมตะวันออกเฉียงเหนือ!J485"")+IMPORTRANGE(""https://docs.google.com/spreadsheets/d/1dCxWUCc_SKNp-qd8qsaa5pPX_-BuQqWJ_-8FnsS4Ki0/edit?usp=sharing"",""รวมกลาง!J485"")+IMPORTRANGE(""https://docs.google.com/spreadsheets/d/1uOzBKYgpuhMUe0xXQLXSct3xZ80hakAMJHdG"&amp;"Jh9616E/edit?usp=sharing"",""รวมใต้!J485"")"),110703.4025)</f>
        <v>110703.4025</v>
      </c>
      <c r="K496" s="163">
        <f t="shared" ca="1" si="131"/>
        <v>0</v>
      </c>
      <c r="L496" s="180"/>
      <c r="M496" s="180"/>
      <c r="N496" s="180"/>
      <c r="O496" s="180"/>
      <c r="P496" s="180"/>
    </row>
    <row r="497" spans="1:16" ht="21.75" customHeight="1" x14ac:dyDescent="0.3">
      <c r="A497" s="405"/>
      <c r="B497" s="406"/>
      <c r="C497" s="406"/>
      <c r="D497" s="407"/>
      <c r="E497" s="194"/>
      <c r="F497" s="194"/>
      <c r="G497" s="427"/>
      <c r="H497" s="428" t="s">
        <v>36</v>
      </c>
      <c r="I497" s="200">
        <f ca="1">IFERROR(__xludf.DUMMYFUNCTION("IMPORTRANGE(""https://docs.google.com/spreadsheets/d/1yGy89TWty5kAjAO5OL1fLLQ_DL8fVJHFf2LvMm8qymA/edit?usp=sharing"",""รวมเหนือ!I486"")+IMPORTRANGE(""https://docs.google.com/spreadsheets/d/1bWGR5Y7oTgtZIep2hLdTHG-chM0w9aHBSSpJHwm6lak/edit?usp=sharing"","""&amp;"รวมตะวันออกเฉียงเหนือ!I486"")+IMPORTRANGE(""https://docs.google.com/spreadsheets/d/1dCxWUCc_SKNp-qd8qsaa5pPX_-BuQqWJ_-8FnsS4Ki0/edit?usp=sharing"",""รวมกลาง!I486"")+IMPORTRANGE(""https://docs.google.com/spreadsheets/d/1uOzBKYgpuhMUe0xXQLXSct3xZ80hakAMJHdG"&amp;"Jh9616E/edit?usp=sharing"",""รวมใต้!I486"")"),0)</f>
        <v>0</v>
      </c>
      <c r="J497" s="187">
        <f ca="1">IFERROR(__xludf.DUMMYFUNCTION("IMPORTRANGE(""https://docs.google.com/spreadsheets/d/1yGy89TWty5kAjAO5OL1fLLQ_DL8fVJHFf2LvMm8qymA/edit?usp=sharing"",""รวมเหนือ!J486"")+IMPORTRANGE(""https://docs.google.com/spreadsheets/d/1bWGR5Y7oTgtZIep2hLdTHG-chM0w9aHBSSpJHwm6lak/edit?usp=sharing"","""&amp;"รวมตะวันออกเฉียงเหนือ!J486"")+IMPORTRANGE(""https://docs.google.com/spreadsheets/d/1dCxWUCc_SKNp-qd8qsaa5pPX_-BuQqWJ_-8FnsS4Ki0/edit?usp=sharing"",""รวมกลาง!J486"")+IMPORTRANGE(""https://docs.google.com/spreadsheets/d/1uOzBKYgpuhMUe0xXQLXSct3xZ80hakAMJHdG"&amp;"Jh9616E/edit?usp=sharing"",""รวมใต้!J486"")"),10416)</f>
        <v>10416</v>
      </c>
      <c r="K497" s="163">
        <f t="shared" ca="1" si="131"/>
        <v>0</v>
      </c>
      <c r="L497" s="180"/>
      <c r="M497" s="180"/>
      <c r="N497" s="180"/>
      <c r="O497" s="180"/>
      <c r="P497" s="180"/>
    </row>
    <row r="498" spans="1:16" ht="21.75" customHeight="1" x14ac:dyDescent="0.3">
      <c r="A498" s="405"/>
      <c r="B498" s="406"/>
      <c r="C498" s="406"/>
      <c r="D498" s="407"/>
      <c r="E498" s="194"/>
      <c r="F498" s="193" t="s">
        <v>177</v>
      </c>
      <c r="G498" s="427"/>
      <c r="H498" s="428" t="s">
        <v>121</v>
      </c>
      <c r="I498" s="200">
        <f ca="1">IFERROR(__xludf.DUMMYFUNCTION("IMPORTRANGE(""https://docs.google.com/spreadsheets/d/1yGy89TWty5kAjAO5OL1fLLQ_DL8fVJHFf2LvMm8qymA/edit?usp=sharing"",""รวมเหนือ!I487"")+IMPORTRANGE(""https://docs.google.com/spreadsheets/d/1bWGR5Y7oTgtZIep2hLdTHG-chM0w9aHBSSpJHwm6lak/edit?usp=sharing"","""&amp;"รวมตะวันออกเฉียงเหนือ!I487"")+IMPORTRANGE(""https://docs.google.com/spreadsheets/d/1dCxWUCc_SKNp-qd8qsaa5pPX_-BuQqWJ_-8FnsS4Ki0/edit?usp=sharing"",""รวมกลาง!I487"")+IMPORTRANGE(""https://docs.google.com/spreadsheets/d/1uOzBKYgpuhMUe0xXQLXSct3xZ80hakAMJHdG"&amp;"Jh9616E/edit?usp=sharing"",""รวมใต้!I487"")"),0)</f>
        <v>0</v>
      </c>
      <c r="J498" s="198">
        <f ca="1">IFERROR(__xludf.DUMMYFUNCTION("IMPORTRANGE(""https://docs.google.com/spreadsheets/d/1yGy89TWty5kAjAO5OL1fLLQ_DL8fVJHFf2LvMm8qymA/edit?usp=sharing"",""รวมเหนือ!J487"")+IMPORTRANGE(""https://docs.google.com/spreadsheets/d/1bWGR5Y7oTgtZIep2hLdTHG-chM0w9aHBSSpJHwm6lak/edit?usp=sharing"","""&amp;"รวมตะวันออกเฉียงเหนือ!J487"")+IMPORTRANGE(""https://docs.google.com/spreadsheets/d/1dCxWUCc_SKNp-qd8qsaa5pPX_-BuQqWJ_-8FnsS4Ki0/edit?usp=sharing"",""รวมกลาง!J487"")+IMPORTRANGE(""https://docs.google.com/spreadsheets/d/1uOzBKYgpuhMUe0xXQLXSct3xZ80hakAMJHdG"&amp;"Jh9616E/edit?usp=sharing"",""รวมใต้!J487"")"),18988.63)</f>
        <v>18988.63</v>
      </c>
      <c r="K498" s="163">
        <f t="shared" ca="1" si="131"/>
        <v>0</v>
      </c>
      <c r="L498" s="180"/>
      <c r="M498" s="180"/>
      <c r="N498" s="180"/>
      <c r="O498" s="180"/>
      <c r="P498" s="180"/>
    </row>
    <row r="499" spans="1:16" ht="21.75" customHeight="1" x14ac:dyDescent="0.3">
      <c r="A499" s="405"/>
      <c r="B499" s="406"/>
      <c r="C499" s="406"/>
      <c r="D499" s="407"/>
      <c r="E499" s="194"/>
      <c r="F499" s="194"/>
      <c r="G499" s="194"/>
      <c r="H499" s="428" t="s">
        <v>36</v>
      </c>
      <c r="I499" s="200">
        <f ca="1">IFERROR(__xludf.DUMMYFUNCTION("IMPORTRANGE(""https://docs.google.com/spreadsheets/d/1yGy89TWty5kAjAO5OL1fLLQ_DL8fVJHFf2LvMm8qymA/edit?usp=sharing"",""รวมเหนือ!I488"")+IMPORTRANGE(""https://docs.google.com/spreadsheets/d/1bWGR5Y7oTgtZIep2hLdTHG-chM0w9aHBSSpJHwm6lak/edit?usp=sharing"","""&amp;"รวมตะวันออกเฉียงเหนือ!I488"")+IMPORTRANGE(""https://docs.google.com/spreadsheets/d/1dCxWUCc_SKNp-qd8qsaa5pPX_-BuQqWJ_-8FnsS4Ki0/edit?usp=sharing"",""รวมกลาง!I488"")+IMPORTRANGE(""https://docs.google.com/spreadsheets/d/1uOzBKYgpuhMUe0xXQLXSct3xZ80hakAMJHdG"&amp;"Jh9616E/edit?usp=sharing"",""รวมใต้!I488"")"),0)</f>
        <v>0</v>
      </c>
      <c r="J499" s="198">
        <f ca="1">IFERROR(__xludf.DUMMYFUNCTION("IMPORTRANGE(""https://docs.google.com/spreadsheets/d/1yGy89TWty5kAjAO5OL1fLLQ_DL8fVJHFf2LvMm8qymA/edit?usp=sharing"",""รวมเหนือ!J488"")+IMPORTRANGE(""https://docs.google.com/spreadsheets/d/1bWGR5Y7oTgtZIep2hLdTHG-chM0w9aHBSSpJHwm6lak/edit?usp=sharing"","""&amp;"รวมตะวันออกเฉียงเหนือ!J488"")+IMPORTRANGE(""https://docs.google.com/spreadsheets/d/1dCxWUCc_SKNp-qd8qsaa5pPX_-BuQqWJ_-8FnsS4Ki0/edit?usp=sharing"",""รวมกลาง!J488"")+IMPORTRANGE(""https://docs.google.com/spreadsheets/d/1uOzBKYgpuhMUe0xXQLXSct3xZ80hakAMJHdG"&amp;"Jh9616E/edit?usp=sharing"",""รวมใต้!J488"")"),2109)</f>
        <v>2109</v>
      </c>
      <c r="K499" s="163">
        <f t="shared" ca="1" si="131"/>
        <v>0</v>
      </c>
      <c r="L499" s="180"/>
      <c r="M499" s="180"/>
      <c r="N499" s="180"/>
      <c r="O499" s="180"/>
      <c r="P499" s="180"/>
    </row>
    <row r="500" spans="1:16" ht="21.75" customHeight="1" x14ac:dyDescent="0.3">
      <c r="A500" s="405"/>
      <c r="B500" s="406"/>
      <c r="C500" s="406"/>
      <c r="D500" s="407"/>
      <c r="E500" s="194"/>
      <c r="F500" s="194"/>
      <c r="G500" s="193" t="s">
        <v>178</v>
      </c>
      <c r="H500" s="428" t="s">
        <v>121</v>
      </c>
      <c r="I500" s="200">
        <f ca="1">IFERROR(__xludf.DUMMYFUNCTION("IMPORTRANGE(""https://docs.google.com/spreadsheets/d/1yGy89TWty5kAjAO5OL1fLLQ_DL8fVJHFf2LvMm8qymA/edit?usp=sharing"",""รวมเหนือ!I489"")+IMPORTRANGE(""https://docs.google.com/spreadsheets/d/1bWGR5Y7oTgtZIep2hLdTHG-chM0w9aHBSSpJHwm6lak/edit?usp=sharing"","""&amp;"รวมตะวันออกเฉียงเหนือ!I489"")+IMPORTRANGE(""https://docs.google.com/spreadsheets/d/1dCxWUCc_SKNp-qd8qsaa5pPX_-BuQqWJ_-8FnsS4Ki0/edit?usp=sharing"",""รวมกลาง!I489"")+IMPORTRANGE(""https://docs.google.com/spreadsheets/d/1uOzBKYgpuhMUe0xXQLXSct3xZ80hakAMJHdG"&amp;"Jh9616E/edit?usp=sharing"",""รวมใต้!I489"")"),0)</f>
        <v>0</v>
      </c>
      <c r="J500" s="187">
        <f ca="1">IFERROR(__xludf.DUMMYFUNCTION("IMPORTRANGE(""https://docs.google.com/spreadsheets/d/1yGy89TWty5kAjAO5OL1fLLQ_DL8fVJHFf2LvMm8qymA/edit?usp=sharing"",""รวมเหนือ!J489"")+IMPORTRANGE(""https://docs.google.com/spreadsheets/d/1bWGR5Y7oTgtZIep2hLdTHG-chM0w9aHBSSpJHwm6lak/edit?usp=sharing"","""&amp;"รวมตะวันออกเฉียงเหนือ!J489"")+IMPORTRANGE(""https://docs.google.com/spreadsheets/d/1dCxWUCc_SKNp-qd8qsaa5pPX_-BuQqWJ_-8FnsS4Ki0/edit?usp=sharing"",""รวมกลาง!J489"")+IMPORTRANGE(""https://docs.google.com/spreadsheets/d/1uOzBKYgpuhMUe0xXQLXSct3xZ80hakAMJHdG"&amp;"Jh9616E/edit?usp=sharing"",""รวมใต้!J489"")"),18472.1725)</f>
        <v>18472.172500000001</v>
      </c>
      <c r="K500" s="163">
        <f t="shared" ca="1" si="131"/>
        <v>0</v>
      </c>
      <c r="L500" s="180"/>
      <c r="M500" s="180"/>
      <c r="N500" s="180"/>
      <c r="O500" s="180"/>
      <c r="P500" s="180"/>
    </row>
    <row r="501" spans="1:16" ht="21.75" customHeight="1" x14ac:dyDescent="0.3">
      <c r="A501" s="405"/>
      <c r="B501" s="406"/>
      <c r="C501" s="406"/>
      <c r="D501" s="407"/>
      <c r="E501" s="194"/>
      <c r="F501" s="194"/>
      <c r="G501" s="194"/>
      <c r="H501" s="428" t="s">
        <v>36</v>
      </c>
      <c r="I501" s="200">
        <f ca="1">IFERROR(__xludf.DUMMYFUNCTION("IMPORTRANGE(""https://docs.google.com/spreadsheets/d/1yGy89TWty5kAjAO5OL1fLLQ_DL8fVJHFf2LvMm8qymA/edit?usp=sharing"",""รวมเหนือ!I490"")+IMPORTRANGE(""https://docs.google.com/spreadsheets/d/1bWGR5Y7oTgtZIep2hLdTHG-chM0w9aHBSSpJHwm6lak/edit?usp=sharing"","""&amp;"รวมตะวันออกเฉียงเหนือ!I490"")+IMPORTRANGE(""https://docs.google.com/spreadsheets/d/1dCxWUCc_SKNp-qd8qsaa5pPX_-BuQqWJ_-8FnsS4Ki0/edit?usp=sharing"",""รวมกลาง!I490"")+IMPORTRANGE(""https://docs.google.com/spreadsheets/d/1uOzBKYgpuhMUe0xXQLXSct3xZ80hakAMJHdG"&amp;"Jh9616E/edit?usp=sharing"",""รวมใต้!I490"")"),0)</f>
        <v>0</v>
      </c>
      <c r="J501" s="187">
        <f ca="1">IFERROR(__xludf.DUMMYFUNCTION("IMPORTRANGE(""https://docs.google.com/spreadsheets/d/1yGy89TWty5kAjAO5OL1fLLQ_DL8fVJHFf2LvMm8qymA/edit?usp=sharing"",""รวมเหนือ!J490"")+IMPORTRANGE(""https://docs.google.com/spreadsheets/d/1bWGR5Y7oTgtZIep2hLdTHG-chM0w9aHBSSpJHwm6lak/edit?usp=sharing"","""&amp;"รวมตะวันออกเฉียงเหนือ!J490"")+IMPORTRANGE(""https://docs.google.com/spreadsheets/d/1dCxWUCc_SKNp-qd8qsaa5pPX_-BuQqWJ_-8FnsS4Ki0/edit?usp=sharing"",""รวมกลาง!J490"")+IMPORTRANGE(""https://docs.google.com/spreadsheets/d/1uOzBKYgpuhMUe0xXQLXSct3xZ80hakAMJHdG"&amp;"Jh9616E/edit?usp=sharing"",""รวมใต้!J490"")"),2058)</f>
        <v>2058</v>
      </c>
      <c r="K501" s="163">
        <f t="shared" ca="1" si="131"/>
        <v>0</v>
      </c>
      <c r="L501" s="180"/>
      <c r="M501" s="180"/>
      <c r="N501" s="180"/>
      <c r="O501" s="180"/>
      <c r="P501" s="180"/>
    </row>
    <row r="502" spans="1:16" ht="21.75" customHeight="1" x14ac:dyDescent="0.3">
      <c r="A502" s="405"/>
      <c r="B502" s="406"/>
      <c r="C502" s="406"/>
      <c r="D502" s="407"/>
      <c r="E502" s="194"/>
      <c r="F502" s="194"/>
      <c r="G502" s="193" t="s">
        <v>179</v>
      </c>
      <c r="H502" s="428" t="s">
        <v>121</v>
      </c>
      <c r="I502" s="200">
        <f ca="1">IFERROR(__xludf.DUMMYFUNCTION("IMPORTRANGE(""https://docs.google.com/spreadsheets/d/1yGy89TWty5kAjAO5OL1fLLQ_DL8fVJHFf2LvMm8qymA/edit?usp=sharing"",""รวมเหนือ!I491"")+IMPORTRANGE(""https://docs.google.com/spreadsheets/d/1bWGR5Y7oTgtZIep2hLdTHG-chM0w9aHBSSpJHwm6lak/edit?usp=sharing"","""&amp;"รวมตะวันออกเฉียงเหนือ!I491"")+IMPORTRANGE(""https://docs.google.com/spreadsheets/d/1dCxWUCc_SKNp-qd8qsaa5pPX_-BuQqWJ_-8FnsS4Ki0/edit?usp=sharing"",""รวมกลาง!I491"")+IMPORTRANGE(""https://docs.google.com/spreadsheets/d/1uOzBKYgpuhMUe0xXQLXSct3xZ80hakAMJHdG"&amp;"Jh9616E/edit?usp=sharing"",""รวมใต้!I491"")"),0)</f>
        <v>0</v>
      </c>
      <c r="J502" s="187">
        <f ca="1">IFERROR(__xludf.DUMMYFUNCTION("IMPORTRANGE(""https://docs.google.com/spreadsheets/d/1yGy89TWty5kAjAO5OL1fLLQ_DL8fVJHFf2LvMm8qymA/edit?usp=sharing"",""รวมเหนือ!J491"")+IMPORTRANGE(""https://docs.google.com/spreadsheets/d/1bWGR5Y7oTgtZIep2hLdTHG-chM0w9aHBSSpJHwm6lak/edit?usp=sharing"","""&amp;"รวมตะวันออกเฉียงเหนือ!J491"")+IMPORTRANGE(""https://docs.google.com/spreadsheets/d/1dCxWUCc_SKNp-qd8qsaa5pPX_-BuQqWJ_-8FnsS4Ki0/edit?usp=sharing"",""รวมกลาง!J491"")+IMPORTRANGE(""https://docs.google.com/spreadsheets/d/1uOzBKYgpuhMUe0xXQLXSct3xZ80hakAMJHdG"&amp;"Jh9616E/edit?usp=sharing"",""รวมใต้!J491"")"),516.4575)</f>
        <v>516.45749999999998</v>
      </c>
      <c r="K502" s="163">
        <f t="shared" ca="1" si="131"/>
        <v>0</v>
      </c>
      <c r="L502" s="180"/>
      <c r="M502" s="180"/>
      <c r="N502" s="180"/>
      <c r="O502" s="180"/>
      <c r="P502" s="180"/>
    </row>
    <row r="503" spans="1:16" ht="21.75" customHeight="1" x14ac:dyDescent="0.3">
      <c r="A503" s="405"/>
      <c r="B503" s="406"/>
      <c r="C503" s="406"/>
      <c r="D503" s="407"/>
      <c r="E503" s="194"/>
      <c r="F503" s="194"/>
      <c r="G503" s="195"/>
      <c r="H503" s="428" t="s">
        <v>36</v>
      </c>
      <c r="I503" s="200">
        <f ca="1">IFERROR(__xludf.DUMMYFUNCTION("IMPORTRANGE(""https://docs.google.com/spreadsheets/d/1yGy89TWty5kAjAO5OL1fLLQ_DL8fVJHFf2LvMm8qymA/edit?usp=sharing"",""รวมเหนือ!I492"")+IMPORTRANGE(""https://docs.google.com/spreadsheets/d/1bWGR5Y7oTgtZIep2hLdTHG-chM0w9aHBSSpJHwm6lak/edit?usp=sharing"","""&amp;"รวมตะวันออกเฉียงเหนือ!I492"")+IMPORTRANGE(""https://docs.google.com/spreadsheets/d/1dCxWUCc_SKNp-qd8qsaa5pPX_-BuQqWJ_-8FnsS4Ki0/edit?usp=sharing"",""รวมกลาง!I492"")+IMPORTRANGE(""https://docs.google.com/spreadsheets/d/1uOzBKYgpuhMUe0xXQLXSct3xZ80hakAMJHdG"&amp;"Jh9616E/edit?usp=sharing"",""รวมใต้!I492"")"),0)</f>
        <v>0</v>
      </c>
      <c r="J503" s="187">
        <f ca="1">IFERROR(__xludf.DUMMYFUNCTION("IMPORTRANGE(""https://docs.google.com/spreadsheets/d/1yGy89TWty5kAjAO5OL1fLLQ_DL8fVJHFf2LvMm8qymA/edit?usp=sharing"",""รวมเหนือ!J492"")+IMPORTRANGE(""https://docs.google.com/spreadsheets/d/1bWGR5Y7oTgtZIep2hLdTHG-chM0w9aHBSSpJHwm6lak/edit?usp=sharing"","""&amp;"รวมตะวันออกเฉียงเหนือ!J492"")+IMPORTRANGE(""https://docs.google.com/spreadsheets/d/1dCxWUCc_SKNp-qd8qsaa5pPX_-BuQqWJ_-8FnsS4Ki0/edit?usp=sharing"",""รวมกลาง!J492"")+IMPORTRANGE(""https://docs.google.com/spreadsheets/d/1uOzBKYgpuhMUe0xXQLXSct3xZ80hakAMJHdG"&amp;"Jh9616E/edit?usp=sharing"",""รวมใต้!J492"")"),51)</f>
        <v>51</v>
      </c>
      <c r="K503" s="163">
        <f t="shared" ca="1" si="131"/>
        <v>0</v>
      </c>
      <c r="L503" s="180"/>
      <c r="M503" s="180"/>
      <c r="N503" s="180"/>
      <c r="O503" s="180"/>
      <c r="P503" s="180"/>
    </row>
    <row r="504" spans="1:16" ht="21.75" customHeight="1" x14ac:dyDescent="0.3">
      <c r="A504" s="405"/>
      <c r="B504" s="406"/>
      <c r="C504" s="406"/>
      <c r="D504" s="407"/>
      <c r="E504" s="194"/>
      <c r="F504" s="193" t="s">
        <v>180</v>
      </c>
      <c r="G504" s="427"/>
      <c r="H504" s="428" t="s">
        <v>121</v>
      </c>
      <c r="I504" s="200">
        <f ca="1">IFERROR(__xludf.DUMMYFUNCTION("IMPORTRANGE(""https://docs.google.com/spreadsheets/d/1yGy89TWty5kAjAO5OL1fLLQ_DL8fVJHFf2LvMm8qymA/edit?usp=sharing"",""รวมเหนือ!I493"")+IMPORTRANGE(""https://docs.google.com/spreadsheets/d/1bWGR5Y7oTgtZIep2hLdTHG-chM0w9aHBSSpJHwm6lak/edit?usp=sharing"","""&amp;"รวมตะวันออกเฉียงเหนือ!I493"")+IMPORTRANGE(""https://docs.google.com/spreadsheets/d/1dCxWUCc_SKNp-qd8qsaa5pPX_-BuQqWJ_-8FnsS4Ki0/edit?usp=sharing"",""รวมกลาง!I493"")+IMPORTRANGE(""https://docs.google.com/spreadsheets/d/1uOzBKYgpuhMUe0xXQLXSct3xZ80hakAMJHdG"&amp;"Jh9616E/edit?usp=sharing"",""รวมใต้!I493"")"),0)</f>
        <v>0</v>
      </c>
      <c r="J504" s="187">
        <f ca="1">IFERROR(__xludf.DUMMYFUNCTION("IMPORTRANGE(""https://docs.google.com/spreadsheets/d/1yGy89TWty5kAjAO5OL1fLLQ_DL8fVJHFf2LvMm8qymA/edit?usp=sharing"",""รวมเหนือ!J493"")+IMPORTRANGE(""https://docs.google.com/spreadsheets/d/1bWGR5Y7oTgtZIep2hLdTHG-chM0w9aHBSSpJHwm6lak/edit?usp=sharing"","""&amp;"รวมตะวันออกเฉียงเหนือ!J493"")+IMPORTRANGE(""https://docs.google.com/spreadsheets/d/1dCxWUCc_SKNp-qd8qsaa5pPX_-BuQqWJ_-8FnsS4Ki0/edit?usp=sharing"",""รวมกลาง!J493"")+IMPORTRANGE(""https://docs.google.com/spreadsheets/d/1uOzBKYgpuhMUe0xXQLXSct3xZ80hakAMJHdG"&amp;"Jh9616E/edit?usp=sharing"",""รวมใต้!J493"")"),0)</f>
        <v>0</v>
      </c>
      <c r="K504" s="163">
        <f t="shared" ca="1" si="131"/>
        <v>0</v>
      </c>
      <c r="L504" s="180"/>
      <c r="M504" s="180"/>
      <c r="N504" s="180"/>
      <c r="O504" s="180"/>
      <c r="P504" s="180"/>
    </row>
    <row r="505" spans="1:16" ht="21.75" customHeight="1" x14ac:dyDescent="0.3">
      <c r="A505" s="437"/>
      <c r="B505" s="438"/>
      <c r="C505" s="438"/>
      <c r="D505" s="439"/>
      <c r="E505" s="346"/>
      <c r="F505" s="346"/>
      <c r="G505" s="346"/>
      <c r="H505" s="440" t="s">
        <v>36</v>
      </c>
      <c r="I505" s="441">
        <f ca="1">IFERROR(__xludf.DUMMYFUNCTION("IMPORTRANGE(""https://docs.google.com/spreadsheets/d/1yGy89TWty5kAjAO5OL1fLLQ_DL8fVJHFf2LvMm8qymA/edit?usp=sharing"",""รวมเหนือ!I494"")+IMPORTRANGE(""https://docs.google.com/spreadsheets/d/1bWGR5Y7oTgtZIep2hLdTHG-chM0w9aHBSSpJHwm6lak/edit?usp=sharing"","""&amp;"รวมตะวันออกเฉียงเหนือ!I494"")+IMPORTRANGE(""https://docs.google.com/spreadsheets/d/1dCxWUCc_SKNp-qd8qsaa5pPX_-BuQqWJ_-8FnsS4Ki0/edit?usp=sharing"",""รวมกลาง!I494"")+IMPORTRANGE(""https://docs.google.com/spreadsheets/d/1uOzBKYgpuhMUe0xXQLXSct3xZ80hakAMJHdG"&amp;"Jh9616E/edit?usp=sharing"",""รวมใต้!I494"")"),0)</f>
        <v>0</v>
      </c>
      <c r="J505" s="442">
        <f ca="1">IFERROR(__xludf.DUMMYFUNCTION("IMPORTRANGE(""https://docs.google.com/spreadsheets/d/1yGy89TWty5kAjAO5OL1fLLQ_DL8fVJHFf2LvMm8qymA/edit?usp=sharing"",""รวมเหนือ!J494"")+IMPORTRANGE(""https://docs.google.com/spreadsheets/d/1bWGR5Y7oTgtZIep2hLdTHG-chM0w9aHBSSpJHwm6lak/edit?usp=sharing"","""&amp;"รวมตะวันออกเฉียงเหนือ!J494"")+IMPORTRANGE(""https://docs.google.com/spreadsheets/d/1dCxWUCc_SKNp-qd8qsaa5pPX_-BuQqWJ_-8FnsS4Ki0/edit?usp=sharing"",""รวมกลาง!J494"")+IMPORTRANGE(""https://docs.google.com/spreadsheets/d/1uOzBKYgpuhMUe0xXQLXSct3xZ80hakAMJHdG"&amp;"Jh9616E/edit?usp=sharing"",""รวมใต้!J494"")"),0)</f>
        <v>0</v>
      </c>
      <c r="K505" s="286">
        <f t="shared" ca="1" si="131"/>
        <v>0</v>
      </c>
      <c r="L505" s="241"/>
      <c r="M505" s="241"/>
      <c r="N505" s="241"/>
      <c r="O505" s="241"/>
      <c r="P505" s="241"/>
    </row>
    <row r="506" spans="1:16" ht="21.75" customHeight="1" x14ac:dyDescent="0.3">
      <c r="A506" s="405"/>
      <c r="B506" s="406"/>
      <c r="C506" s="406"/>
      <c r="D506" s="407"/>
      <c r="E506" s="194"/>
      <c r="F506" s="194">
        <v>3.5</v>
      </c>
      <c r="G506" s="427" t="s">
        <v>181</v>
      </c>
      <c r="H506" s="428" t="s">
        <v>121</v>
      </c>
      <c r="I506" s="441">
        <f ca="1">IFERROR(__xludf.DUMMYFUNCTION("IMPORTRANGE(""https://docs.google.com/spreadsheets/d/1yGy89TWty5kAjAO5OL1fLLQ_DL8fVJHFf2LvMm8qymA/edit?usp=sharing"",""รวมเหนือ!I495"")+IMPORTRANGE(""https://docs.google.com/spreadsheets/d/1bWGR5Y7oTgtZIep2hLdTHG-chM0w9aHBSSpJHwm6lak/edit?usp=sharing"","""&amp;"รวมตะวันออกเฉียงเหนือ!I495"")+IMPORTRANGE(""https://docs.google.com/spreadsheets/d/1dCxWUCc_SKNp-qd8qsaa5pPX_-BuQqWJ_-8FnsS4Ki0/edit?usp=sharing"",""รวมกลาง!I495"")+IMPORTRANGE(""https://docs.google.com/spreadsheets/d/1uOzBKYgpuhMUe0xXQLXSct3xZ80hakAMJHdG"&amp;"Jh9616E/edit?usp=sharing"",""รวมใต้!I495"")"),0)</f>
        <v>0</v>
      </c>
      <c r="J506" s="442">
        <f ca="1">IFERROR(__xludf.DUMMYFUNCTION("IMPORTRANGE(""https://docs.google.com/spreadsheets/d/1yGy89TWty5kAjAO5OL1fLLQ_DL8fVJHFf2LvMm8qymA/edit?usp=sharing"",""รวมเหนือ!J495"")+IMPORTRANGE(""https://docs.google.com/spreadsheets/d/1bWGR5Y7oTgtZIep2hLdTHG-chM0w9aHBSSpJHwm6lak/edit?usp=sharing"","""&amp;"รวมตะวันออกเฉียงเหนือ!J495"")+IMPORTRANGE(""https://docs.google.com/spreadsheets/d/1dCxWUCc_SKNp-qd8qsaa5pPX_-BuQqWJ_-8FnsS4Ki0/edit?usp=sharing"",""รวมกลาง!J495"")+IMPORTRANGE(""https://docs.google.com/spreadsheets/d/1uOzBKYgpuhMUe0xXQLXSct3xZ80hakAMJHdG"&amp;"Jh9616E/edit?usp=sharing"",""รวมใต้!J495"")"),2.11)</f>
        <v>2.11</v>
      </c>
      <c r="K506" s="163">
        <f t="shared" ca="1" si="131"/>
        <v>0</v>
      </c>
      <c r="L506" s="180"/>
      <c r="M506" s="180"/>
      <c r="N506" s="180"/>
      <c r="O506" s="180"/>
      <c r="P506" s="180"/>
    </row>
    <row r="507" spans="1:16" ht="21.75" customHeight="1" x14ac:dyDescent="0.3">
      <c r="A507" s="437"/>
      <c r="B507" s="438"/>
      <c r="C507" s="438"/>
      <c r="D507" s="439"/>
      <c r="E507" s="346"/>
      <c r="F507" s="346"/>
      <c r="G507" s="346"/>
      <c r="H507" s="440" t="s">
        <v>36</v>
      </c>
      <c r="I507" s="441">
        <f ca="1">IFERROR(__xludf.DUMMYFUNCTION("IMPORTRANGE(""https://docs.google.com/spreadsheets/d/1yGy89TWty5kAjAO5OL1fLLQ_DL8fVJHFf2LvMm8qymA/edit?usp=sharing"",""รวมเหนือ!I496"")+IMPORTRANGE(""https://docs.google.com/spreadsheets/d/1bWGR5Y7oTgtZIep2hLdTHG-chM0w9aHBSSpJHwm6lak/edit?usp=sharing"","""&amp;"รวมตะวันออกเฉียงเหนือ!I496"")+IMPORTRANGE(""https://docs.google.com/spreadsheets/d/1dCxWUCc_SKNp-qd8qsaa5pPX_-BuQqWJ_-8FnsS4Ki0/edit?usp=sharing"",""รวมกลาง!I496"")+IMPORTRANGE(""https://docs.google.com/spreadsheets/d/1uOzBKYgpuhMUe0xXQLXSct3xZ80hakAMJHdG"&amp;"Jh9616E/edit?usp=sharing"",""รวมใต้!I496"")"),0)</f>
        <v>0</v>
      </c>
      <c r="J507" s="442">
        <f ca="1">IFERROR(__xludf.DUMMYFUNCTION("IMPORTRANGE(""https://docs.google.com/spreadsheets/d/1yGy89TWty5kAjAO5OL1fLLQ_DL8fVJHFf2LvMm8qymA/edit?usp=sharing"",""รวมเหนือ!J496"")+IMPORTRANGE(""https://docs.google.com/spreadsheets/d/1bWGR5Y7oTgtZIep2hLdTHG-chM0w9aHBSSpJHwm6lak/edit?usp=sharing"","""&amp;"รวมตะวันออกเฉียงเหนือ!J496"")+IMPORTRANGE(""https://docs.google.com/spreadsheets/d/1dCxWUCc_SKNp-qd8qsaa5pPX_-BuQqWJ_-8FnsS4Ki0/edit?usp=sharing"",""รวมกลาง!J496"")+IMPORTRANGE(""https://docs.google.com/spreadsheets/d/1uOzBKYgpuhMUe0xXQLXSct3xZ80hakAMJHdG"&amp;"Jh9616E/edit?usp=sharing"",""รวมใต้!J496"")"),1)</f>
        <v>1</v>
      </c>
      <c r="K507" s="286">
        <f t="shared" ca="1" si="131"/>
        <v>0</v>
      </c>
      <c r="L507" s="241"/>
      <c r="M507" s="241"/>
      <c r="N507" s="241"/>
      <c r="O507" s="241"/>
      <c r="P507" s="241"/>
    </row>
    <row r="508" spans="1:16" ht="21.75" customHeight="1" x14ac:dyDescent="0.3">
      <c r="A508" s="443"/>
      <c r="B508" s="444"/>
      <c r="C508" s="445" t="s">
        <v>182</v>
      </c>
      <c r="D508" s="445"/>
      <c r="E508" s="446"/>
      <c r="F508" s="446"/>
      <c r="G508" s="447"/>
      <c r="H508" s="448" t="s">
        <v>121</v>
      </c>
      <c r="I508" s="449">
        <f ca="1">IFERROR(__xludf.DUMMYFUNCTION("IMPORTRANGE(""https://docs.google.com/spreadsheets/d/1yGy89TWty5kAjAO5OL1fLLQ_DL8fVJHFf2LvMm8qymA/edit?usp=sharing"",""รวมเหนือ!I497"")+IMPORTRANGE(""https://docs.google.com/spreadsheets/d/1bWGR5Y7oTgtZIep2hLdTHG-chM0w9aHBSSpJHwm6lak/edit?usp=sharing"","""&amp;"รวมตะวันออกเฉียงเหนือ!I497"")+IMPORTRANGE(""https://docs.google.com/spreadsheets/d/1dCxWUCc_SKNp-qd8qsaa5pPX_-BuQqWJ_-8FnsS4Ki0/edit?usp=sharing"",""รวมกลาง!I497"")+IMPORTRANGE(""https://docs.google.com/spreadsheets/d/1uOzBKYgpuhMUe0xXQLXSct3xZ80hakAMJHdG"&amp;"Jh9616E/edit?usp=sharing"",""รวมใต้!I497"")"),212183)</f>
        <v>212183</v>
      </c>
      <c r="J508" s="449">
        <f ca="1">IFERROR(__xludf.DUMMYFUNCTION("IMPORTRANGE(""https://docs.google.com/spreadsheets/d/1yGy89TWty5kAjAO5OL1fLLQ_DL8fVJHFf2LvMm8qymA/edit?usp=sharing"",""รวมเหนือ!J497"")+IMPORTRANGE(""https://docs.google.com/spreadsheets/d/1bWGR5Y7oTgtZIep2hLdTHG-chM0w9aHBSSpJHwm6lak/edit?usp=sharing"","""&amp;"รวมตะวันออกเฉียงเหนือ!J497"")+IMPORTRANGE(""https://docs.google.com/spreadsheets/d/1dCxWUCc_SKNp-qd8qsaa5pPX_-BuQqWJ_-8FnsS4Ki0/edit?usp=sharing"",""รวมกลาง!J497"")+IMPORTRANGE(""https://docs.google.com/spreadsheets/d/1uOzBKYgpuhMUe0xXQLXSct3xZ80hakAMJHdG"&amp;"Jh9616E/edit?usp=sharing"",""รวมใต้!J497"")"),39814.2875)</f>
        <v>39814.287499999999</v>
      </c>
      <c r="K508" s="450">
        <f t="shared" ca="1" si="131"/>
        <v>18.764126956447971</v>
      </c>
      <c r="L508" s="451"/>
      <c r="M508" s="451"/>
      <c r="N508" s="451"/>
      <c r="O508" s="451"/>
      <c r="P508" s="451"/>
    </row>
    <row r="509" spans="1:16" ht="21.75" customHeight="1" x14ac:dyDescent="0.3">
      <c r="A509" s="174"/>
      <c r="B509" s="175"/>
      <c r="C509" s="175"/>
      <c r="D509" s="407"/>
      <c r="E509" s="452" t="s">
        <v>183</v>
      </c>
      <c r="F509" s="453"/>
      <c r="G509" s="454"/>
      <c r="H509" s="455" t="s">
        <v>121</v>
      </c>
      <c r="I509" s="426">
        <f ca="1">IFERROR(__xludf.DUMMYFUNCTION("IMPORTRANGE(""https://docs.google.com/spreadsheets/d/1yGy89TWty5kAjAO5OL1fLLQ_DL8fVJHFf2LvMm8qymA/edit?usp=sharing"",""รวมเหนือ!I498"")+IMPORTRANGE(""https://docs.google.com/spreadsheets/d/1bWGR5Y7oTgtZIep2hLdTHG-chM0w9aHBSSpJHwm6lak/edit?usp=sharing"","""&amp;"รวมตะวันออกเฉียงเหนือ!I498"")+IMPORTRANGE(""https://docs.google.com/spreadsheets/d/1dCxWUCc_SKNp-qd8qsaa5pPX_-BuQqWJ_-8FnsS4Ki0/edit?usp=sharing"",""รวมกลาง!I498"")+IMPORTRANGE(""https://docs.google.com/spreadsheets/d/1uOzBKYgpuhMUe0xXQLXSct3xZ80hakAMJHdG"&amp;"Jh9616E/edit?usp=sharing"",""รวมใต้!I498"")"),212183)</f>
        <v>212183</v>
      </c>
      <c r="J509" s="426">
        <f ca="1">IFERROR(__xludf.DUMMYFUNCTION("IMPORTRANGE(""https://docs.google.com/spreadsheets/d/1yGy89TWty5kAjAO5OL1fLLQ_DL8fVJHFf2LvMm8qymA/edit?usp=sharing"",""รวมเหนือ!J498"")+IMPORTRANGE(""https://docs.google.com/spreadsheets/d/1bWGR5Y7oTgtZIep2hLdTHG-chM0w9aHBSSpJHwm6lak/edit?usp=sharing"","""&amp;"รวมตะวันออกเฉียงเหนือ!J498"")+IMPORTRANGE(""https://docs.google.com/spreadsheets/d/1dCxWUCc_SKNp-qd8qsaa5pPX_-BuQqWJ_-8FnsS4Ki0/edit?usp=sharing"",""รวมกลาง!J498"")+IMPORTRANGE(""https://docs.google.com/spreadsheets/d/1uOzBKYgpuhMUe0xXQLXSct3xZ80hakAMJHdG"&amp;"Jh9616E/edit?usp=sharing"",""รวมใต้!J498"")"),39814.2875)</f>
        <v>39814.287499999999</v>
      </c>
      <c r="K509" s="199">
        <f t="shared" ca="1" si="131"/>
        <v>18.764126956447971</v>
      </c>
      <c r="L509" s="180"/>
      <c r="M509" s="180"/>
      <c r="N509" s="180"/>
      <c r="O509" s="180"/>
      <c r="P509" s="180"/>
    </row>
    <row r="510" spans="1:16" ht="21.75" customHeight="1" x14ac:dyDescent="0.3">
      <c r="A510" s="174"/>
      <c r="B510" s="175"/>
      <c r="C510" s="175"/>
      <c r="D510" s="192"/>
      <c r="E510" s="453"/>
      <c r="F510" s="453"/>
      <c r="G510" s="454"/>
      <c r="H510" s="455" t="s">
        <v>36</v>
      </c>
      <c r="I510" s="426">
        <f ca="1">IFERROR(__xludf.DUMMYFUNCTION("IMPORTRANGE(""https://docs.google.com/spreadsheets/d/1yGy89TWty5kAjAO5OL1fLLQ_DL8fVJHFf2LvMm8qymA/edit?usp=sharing"",""รวมเหนือ!I499"")+IMPORTRANGE(""https://docs.google.com/spreadsheets/d/1bWGR5Y7oTgtZIep2hLdTHG-chM0w9aHBSSpJHwm6lak/edit?usp=sharing"","""&amp;"รวมตะวันออกเฉียงเหนือ!I499"")+IMPORTRANGE(""https://docs.google.com/spreadsheets/d/1dCxWUCc_SKNp-qd8qsaa5pPX_-BuQqWJ_-8FnsS4Ki0/edit?usp=sharing"",""รวมกลาง!I499"")+IMPORTRANGE(""https://docs.google.com/spreadsheets/d/1uOzBKYgpuhMUe0xXQLXSct3xZ80hakAMJHdG"&amp;"Jh9616E/edit?usp=sharing"",""รวมใต้!I499"")"),18551)</f>
        <v>18551</v>
      </c>
      <c r="J510" s="426">
        <f ca="1">IFERROR(__xludf.DUMMYFUNCTION("IMPORTRANGE(""https://docs.google.com/spreadsheets/d/1yGy89TWty5kAjAO5OL1fLLQ_DL8fVJHFf2LvMm8qymA/edit?usp=sharing"",""รวมเหนือ!J499"")+IMPORTRANGE(""https://docs.google.com/spreadsheets/d/1bWGR5Y7oTgtZIep2hLdTHG-chM0w9aHBSSpJHwm6lak/edit?usp=sharing"","""&amp;"รวมตะวันออกเฉียงเหนือ!J499"")+IMPORTRANGE(""https://docs.google.com/spreadsheets/d/1dCxWUCc_SKNp-qd8qsaa5pPX_-BuQqWJ_-8FnsS4Ki0/edit?usp=sharing"",""รวมกลาง!J499"")+IMPORTRANGE(""https://docs.google.com/spreadsheets/d/1uOzBKYgpuhMUe0xXQLXSct3xZ80hakAMJHdG"&amp;"Jh9616E/edit?usp=sharing"",""รวมใต้!J499"")"),4325)</f>
        <v>4325</v>
      </c>
      <c r="K510" s="199">
        <f t="shared" ca="1" si="131"/>
        <v>23.314107056223385</v>
      </c>
      <c r="L510" s="180"/>
      <c r="M510" s="180"/>
      <c r="N510" s="180"/>
      <c r="O510" s="180"/>
      <c r="P510" s="180"/>
    </row>
    <row r="511" spans="1:16" ht="21.75" customHeight="1" x14ac:dyDescent="0.3">
      <c r="A511" s="174"/>
      <c r="B511" s="175"/>
      <c r="C511" s="175"/>
      <c r="D511" s="407"/>
      <c r="E511" s="407" t="s">
        <v>184</v>
      </c>
      <c r="F511" s="194"/>
      <c r="G511" s="195"/>
      <c r="H511" s="428" t="s">
        <v>121</v>
      </c>
      <c r="I511" s="200">
        <f ca="1">IFERROR(__xludf.DUMMYFUNCTION("IMPORTRANGE(""https://docs.google.com/spreadsheets/d/1yGy89TWty5kAjAO5OL1fLLQ_DL8fVJHFf2LvMm8qymA/edit?usp=sharing"",""รวมเหนือ!I500"")+IMPORTRANGE(""https://docs.google.com/spreadsheets/d/1bWGR5Y7oTgtZIep2hLdTHG-chM0w9aHBSSpJHwm6lak/edit?usp=sharing"","""&amp;"รวมตะวันออกเฉียงเหนือ!I500"")+IMPORTRANGE(""https://docs.google.com/spreadsheets/d/1dCxWUCc_SKNp-qd8qsaa5pPX_-BuQqWJ_-8FnsS4Ki0/edit?usp=sharing"",""รวมกลาง!I500"")+IMPORTRANGE(""https://docs.google.com/spreadsheets/d/1uOzBKYgpuhMUe0xXQLXSct3xZ80hakAMJHdG"&amp;"Jh9616E/edit?usp=sharing"",""รวมใต้!I500"")"),0)</f>
        <v>0</v>
      </c>
      <c r="J511" s="162">
        <f ca="1">IFERROR(__xludf.DUMMYFUNCTION("IMPORTRANGE(""https://docs.google.com/spreadsheets/d/1yGy89TWty5kAjAO5OL1fLLQ_DL8fVJHFf2LvMm8qymA/edit?usp=sharing"",""รวมเหนือ!J500"")+IMPORTRANGE(""https://docs.google.com/spreadsheets/d/1bWGR5Y7oTgtZIep2hLdTHG-chM0w9aHBSSpJHwm6lak/edit?usp=sharing"","""&amp;"รวมตะวันออกเฉียงเหนือ!J500"")+IMPORTRANGE(""https://docs.google.com/spreadsheets/d/1dCxWUCc_SKNp-qd8qsaa5pPX_-BuQqWJ_-8FnsS4Ki0/edit?usp=sharing"",""รวมกลาง!J500"")+IMPORTRANGE(""https://docs.google.com/spreadsheets/d/1uOzBKYgpuhMUe0xXQLXSct3xZ80hakAMJHdG"&amp;"Jh9616E/edit?usp=sharing"",""รวมใต้!J500"")"),34889.58)</f>
        <v>34889.58</v>
      </c>
      <c r="K511" s="163">
        <f t="shared" ca="1" si="131"/>
        <v>0</v>
      </c>
      <c r="L511" s="180"/>
      <c r="M511" s="180"/>
      <c r="N511" s="180"/>
      <c r="O511" s="180"/>
      <c r="P511" s="180"/>
    </row>
    <row r="512" spans="1:16" ht="21.75" customHeight="1" x14ac:dyDescent="0.3">
      <c r="A512" s="174"/>
      <c r="B512" s="175"/>
      <c r="C512" s="175"/>
      <c r="D512" s="192"/>
      <c r="E512" s="194"/>
      <c r="F512" s="194"/>
      <c r="G512" s="195"/>
      <c r="H512" s="428" t="s">
        <v>36</v>
      </c>
      <c r="I512" s="200">
        <f ca="1">IFERROR(__xludf.DUMMYFUNCTION("IMPORTRANGE(""https://docs.google.com/spreadsheets/d/1yGy89TWty5kAjAO5OL1fLLQ_DL8fVJHFf2LvMm8qymA/edit?usp=sharing"",""รวมเหนือ!I501"")+IMPORTRANGE(""https://docs.google.com/spreadsheets/d/1bWGR5Y7oTgtZIep2hLdTHG-chM0w9aHBSSpJHwm6lak/edit?usp=sharing"","""&amp;"รวมตะวันออกเฉียงเหนือ!I501"")+IMPORTRANGE(""https://docs.google.com/spreadsheets/d/1dCxWUCc_SKNp-qd8qsaa5pPX_-BuQqWJ_-8FnsS4Ki0/edit?usp=sharing"",""รวมกลาง!I501"")+IMPORTRANGE(""https://docs.google.com/spreadsheets/d/1uOzBKYgpuhMUe0xXQLXSct3xZ80hakAMJHdG"&amp;"Jh9616E/edit?usp=sharing"",""รวมใต้!I501"")"),0)</f>
        <v>0</v>
      </c>
      <c r="J512" s="162">
        <f ca="1">IFERROR(__xludf.DUMMYFUNCTION("IMPORTRANGE(""https://docs.google.com/spreadsheets/d/1yGy89TWty5kAjAO5OL1fLLQ_DL8fVJHFf2LvMm8qymA/edit?usp=sharing"",""รวมเหนือ!J501"")+IMPORTRANGE(""https://docs.google.com/spreadsheets/d/1bWGR5Y7oTgtZIep2hLdTHG-chM0w9aHBSSpJHwm6lak/edit?usp=sharing"","""&amp;"รวมตะวันออกเฉียงเหนือ!J501"")+IMPORTRANGE(""https://docs.google.com/spreadsheets/d/1dCxWUCc_SKNp-qd8qsaa5pPX_-BuQqWJ_-8FnsS4Ki0/edit?usp=sharing"",""รวมกลาง!J501"")+IMPORTRANGE(""https://docs.google.com/spreadsheets/d/1uOzBKYgpuhMUe0xXQLXSct3xZ80hakAMJHdG"&amp;"Jh9616E/edit?usp=sharing"",""รวมใต้!J501"")"),3559)</f>
        <v>3559</v>
      </c>
      <c r="K512" s="163">
        <f t="shared" ca="1" si="131"/>
        <v>0</v>
      </c>
      <c r="L512" s="180"/>
      <c r="M512" s="180"/>
      <c r="N512" s="180"/>
      <c r="O512" s="180"/>
      <c r="P512" s="180"/>
    </row>
    <row r="513" spans="1:16" ht="21.75" customHeight="1" x14ac:dyDescent="0.3">
      <c r="A513" s="174"/>
      <c r="B513" s="175"/>
      <c r="C513" s="175"/>
      <c r="D513" s="192"/>
      <c r="E513" s="194"/>
      <c r="F513" s="401" t="s">
        <v>185</v>
      </c>
      <c r="G513" s="427"/>
      <c r="H513" s="428" t="s">
        <v>121</v>
      </c>
      <c r="I513" s="200">
        <f ca="1">IFERROR(__xludf.DUMMYFUNCTION("IMPORTRANGE(""https://docs.google.com/spreadsheets/d/1yGy89TWty5kAjAO5OL1fLLQ_DL8fVJHFf2LvMm8qymA/edit?usp=sharing"",""รวมเหนือ!I502"")+IMPORTRANGE(""https://docs.google.com/spreadsheets/d/1bWGR5Y7oTgtZIep2hLdTHG-chM0w9aHBSSpJHwm6lak/edit?usp=sharing"","""&amp;"รวมตะวันออกเฉียงเหนือ!I502"")+IMPORTRANGE(""https://docs.google.com/spreadsheets/d/1dCxWUCc_SKNp-qd8qsaa5pPX_-BuQqWJ_-8FnsS4Ki0/edit?usp=sharing"",""รวมกลาง!I502"")+IMPORTRANGE(""https://docs.google.com/spreadsheets/d/1uOzBKYgpuhMUe0xXQLXSct3xZ80hakAMJHdG"&amp;"Jh9616E/edit?usp=sharing"",""รวมใต้!I502"")"),0)</f>
        <v>0</v>
      </c>
      <c r="J513" s="187">
        <f ca="1">IFERROR(__xludf.DUMMYFUNCTION("IMPORTRANGE(""https://docs.google.com/spreadsheets/d/1yGy89TWty5kAjAO5OL1fLLQ_DL8fVJHFf2LvMm8qymA/edit?usp=sharing"",""รวมเหนือ!J502"")+IMPORTRANGE(""https://docs.google.com/spreadsheets/d/1bWGR5Y7oTgtZIep2hLdTHG-chM0w9aHBSSpJHwm6lak/edit?usp=sharing"","""&amp;"รวมตะวันออกเฉียงเหนือ!J502"")+IMPORTRANGE(""https://docs.google.com/spreadsheets/d/1dCxWUCc_SKNp-qd8qsaa5pPX_-BuQqWJ_-8FnsS4Ki0/edit?usp=sharing"",""รวมกลาง!J502"")+IMPORTRANGE(""https://docs.google.com/spreadsheets/d/1uOzBKYgpuhMUe0xXQLXSct3xZ80hakAMJHdG"&amp;"Jh9616E/edit?usp=sharing"",""รวมใต้!J502"")"),23967.53)</f>
        <v>23967.53</v>
      </c>
      <c r="K513" s="163">
        <f t="shared" ca="1" si="131"/>
        <v>0</v>
      </c>
      <c r="L513" s="180"/>
      <c r="M513" s="180"/>
      <c r="N513" s="180"/>
      <c r="O513" s="180"/>
      <c r="P513" s="180"/>
    </row>
    <row r="514" spans="1:16" ht="21.75" customHeight="1" x14ac:dyDescent="0.3">
      <c r="A514" s="174"/>
      <c r="B514" s="175"/>
      <c r="C514" s="175"/>
      <c r="D514" s="192"/>
      <c r="E514" s="194"/>
      <c r="F514" s="194"/>
      <c r="G514" s="427"/>
      <c r="H514" s="428" t="s">
        <v>36</v>
      </c>
      <c r="I514" s="186">
        <f ca="1">IFERROR(__xludf.DUMMYFUNCTION("IMPORTRANGE(""https://docs.google.com/spreadsheets/d/1yGy89TWty5kAjAO5OL1fLLQ_DL8fVJHFf2LvMm8qymA/edit?usp=sharing"",""รวมเหนือ!I503"")+IMPORTRANGE(""https://docs.google.com/spreadsheets/d/1bWGR5Y7oTgtZIep2hLdTHG-chM0w9aHBSSpJHwm6lak/edit?usp=sharing"","""&amp;"รวมตะวันออกเฉียงเหนือ!I503"")+IMPORTRANGE(""https://docs.google.com/spreadsheets/d/1dCxWUCc_SKNp-qd8qsaa5pPX_-BuQqWJ_-8FnsS4Ki0/edit?usp=sharing"",""รวมกลาง!I503"")+IMPORTRANGE(""https://docs.google.com/spreadsheets/d/1uOzBKYgpuhMUe0xXQLXSct3xZ80hakAMJHdG"&amp;"Jh9616E/edit?usp=sharing"",""รวมใต้!I503"")"),0)</f>
        <v>0</v>
      </c>
      <c r="J514" s="186">
        <f ca="1">IFERROR(__xludf.DUMMYFUNCTION("IMPORTRANGE(""https://docs.google.com/spreadsheets/d/1yGy89TWty5kAjAO5OL1fLLQ_DL8fVJHFf2LvMm8qymA/edit?usp=sharing"",""รวมเหนือ!J503"")+IMPORTRANGE(""https://docs.google.com/spreadsheets/d/1bWGR5Y7oTgtZIep2hLdTHG-chM0w9aHBSSpJHwm6lak/edit?usp=sharing"","""&amp;"รวมตะวันออกเฉียงเหนือ!J503"")+IMPORTRANGE(""https://docs.google.com/spreadsheets/d/1dCxWUCc_SKNp-qd8qsaa5pPX_-BuQqWJ_-8FnsS4Ki0/edit?usp=sharing"",""รวมกลาง!J503"")+IMPORTRANGE(""https://docs.google.com/spreadsheets/d/1uOzBKYgpuhMUe0xXQLXSct3xZ80hakAMJHdG"&amp;"Jh9616E/edit?usp=sharing"",""รวมใต้!J503"")"),2483)</f>
        <v>2483</v>
      </c>
      <c r="K514" s="163">
        <f t="shared" ca="1" si="131"/>
        <v>0</v>
      </c>
      <c r="L514" s="180"/>
      <c r="M514" s="180"/>
      <c r="N514" s="180"/>
      <c r="O514" s="180"/>
      <c r="P514" s="180"/>
    </row>
    <row r="515" spans="1:16" ht="21.75" customHeight="1" x14ac:dyDescent="0.3">
      <c r="A515" s="174"/>
      <c r="B515" s="175"/>
      <c r="C515" s="175"/>
      <c r="D515" s="192"/>
      <c r="E515" s="194"/>
      <c r="F515" s="393" t="s">
        <v>186</v>
      </c>
      <c r="G515" s="427"/>
      <c r="H515" s="428" t="s">
        <v>121</v>
      </c>
      <c r="I515" s="187">
        <f ca="1">IFERROR(__xludf.DUMMYFUNCTION("IMPORTRANGE(""https://docs.google.com/spreadsheets/d/1yGy89TWty5kAjAO5OL1fLLQ_DL8fVJHFf2LvMm8qymA/edit?usp=sharing"",""รวมเหนือ!I504"")+IMPORTRANGE(""https://docs.google.com/spreadsheets/d/1bWGR5Y7oTgtZIep2hLdTHG-chM0w9aHBSSpJHwm6lak/edit?usp=sharing"","""&amp;"รวมตะวันออกเฉียงเหนือ!I504"")+IMPORTRANGE(""https://docs.google.com/spreadsheets/d/1dCxWUCc_SKNp-qd8qsaa5pPX_-BuQqWJ_-8FnsS4Ki0/edit?usp=sharing"",""รวมกลาง!I504"")+IMPORTRANGE(""https://docs.google.com/spreadsheets/d/1uOzBKYgpuhMUe0xXQLXSct3xZ80hakAMJHdG"&amp;"Jh9616E/edit?usp=sharing"",""รวมใต้!I504"")"),0)</f>
        <v>0</v>
      </c>
      <c r="J515" s="187">
        <f ca="1">IFERROR(__xludf.DUMMYFUNCTION("IMPORTRANGE(""https://docs.google.com/spreadsheets/d/1yGy89TWty5kAjAO5OL1fLLQ_DL8fVJHFf2LvMm8qymA/edit?usp=sharing"",""รวมเหนือ!J504"")+IMPORTRANGE(""https://docs.google.com/spreadsheets/d/1bWGR5Y7oTgtZIep2hLdTHG-chM0w9aHBSSpJHwm6lak/edit?usp=sharing"","""&amp;"รวมตะวันออกเฉียงเหนือ!J504"")+IMPORTRANGE(""https://docs.google.com/spreadsheets/d/1dCxWUCc_SKNp-qd8qsaa5pPX_-BuQqWJ_-8FnsS4Ki0/edit?usp=sharing"",""รวมกลาง!J504"")+IMPORTRANGE(""https://docs.google.com/spreadsheets/d/1uOzBKYgpuhMUe0xXQLXSct3xZ80hakAMJHdG"&amp;"Jh9616E/edit?usp=sharing"",""รวมใต้!J504"")"),10896.05)</f>
        <v>10896.05</v>
      </c>
      <c r="K515" s="163">
        <f t="shared" ca="1" si="131"/>
        <v>0</v>
      </c>
      <c r="L515" s="180"/>
      <c r="M515" s="180"/>
      <c r="N515" s="180"/>
      <c r="O515" s="180"/>
      <c r="P515" s="180"/>
    </row>
    <row r="516" spans="1:16" ht="21.75" customHeight="1" x14ac:dyDescent="0.3">
      <c r="A516" s="174"/>
      <c r="B516" s="175"/>
      <c r="C516" s="175"/>
      <c r="D516" s="192"/>
      <c r="E516" s="194"/>
      <c r="F516" s="194"/>
      <c r="G516" s="427"/>
      <c r="H516" s="428" t="s">
        <v>36</v>
      </c>
      <c r="I516" s="186">
        <f ca="1">IFERROR(__xludf.DUMMYFUNCTION("IMPORTRANGE(""https://docs.google.com/spreadsheets/d/1yGy89TWty5kAjAO5OL1fLLQ_DL8fVJHFf2LvMm8qymA/edit?usp=sharing"",""รวมเหนือ!I505"")+IMPORTRANGE(""https://docs.google.com/spreadsheets/d/1bWGR5Y7oTgtZIep2hLdTHG-chM0w9aHBSSpJHwm6lak/edit?usp=sharing"","""&amp;"รวมตะวันออกเฉียงเหนือ!I505"")+IMPORTRANGE(""https://docs.google.com/spreadsheets/d/1dCxWUCc_SKNp-qd8qsaa5pPX_-BuQqWJ_-8FnsS4Ki0/edit?usp=sharing"",""รวมกลาง!I505"")+IMPORTRANGE(""https://docs.google.com/spreadsheets/d/1uOzBKYgpuhMUe0xXQLXSct3xZ80hakAMJHdG"&amp;"Jh9616E/edit?usp=sharing"",""รวมใต้!I505"")"),0)</f>
        <v>0</v>
      </c>
      <c r="J516" s="186">
        <f ca="1">IFERROR(__xludf.DUMMYFUNCTION("IMPORTRANGE(""https://docs.google.com/spreadsheets/d/1yGy89TWty5kAjAO5OL1fLLQ_DL8fVJHFf2LvMm8qymA/edit?usp=sharing"",""รวมเหนือ!J505"")+IMPORTRANGE(""https://docs.google.com/spreadsheets/d/1bWGR5Y7oTgtZIep2hLdTHG-chM0w9aHBSSpJHwm6lak/edit?usp=sharing"","""&amp;"รวมตะวันออกเฉียงเหนือ!J505"")+IMPORTRANGE(""https://docs.google.com/spreadsheets/d/1dCxWUCc_SKNp-qd8qsaa5pPX_-BuQqWJ_-8FnsS4Ki0/edit?usp=sharing"",""รวมกลาง!J505"")+IMPORTRANGE(""https://docs.google.com/spreadsheets/d/1uOzBKYgpuhMUe0xXQLXSct3xZ80hakAMJHdG"&amp;"Jh9616E/edit?usp=sharing"",""รวมใต้!J505"")"),1075)</f>
        <v>1075</v>
      </c>
      <c r="K516" s="163">
        <f t="shared" ca="1" si="131"/>
        <v>0</v>
      </c>
      <c r="L516" s="180"/>
      <c r="M516" s="180"/>
      <c r="N516" s="180"/>
      <c r="O516" s="180"/>
      <c r="P516" s="180"/>
    </row>
    <row r="517" spans="1:16" ht="21.75" customHeight="1" x14ac:dyDescent="0.3">
      <c r="A517" s="174"/>
      <c r="B517" s="175"/>
      <c r="C517" s="175"/>
      <c r="D517" s="192"/>
      <c r="E517" s="194"/>
      <c r="F517" s="401" t="s">
        <v>187</v>
      </c>
      <c r="G517" s="427"/>
      <c r="H517" s="428" t="s">
        <v>121</v>
      </c>
      <c r="I517" s="187">
        <f ca="1">IFERROR(__xludf.DUMMYFUNCTION("IMPORTRANGE(""https://docs.google.com/spreadsheets/d/1yGy89TWty5kAjAO5OL1fLLQ_DL8fVJHFf2LvMm8qymA/edit?usp=sharing"",""รวมเหนือ!I506"")+IMPORTRANGE(""https://docs.google.com/spreadsheets/d/1bWGR5Y7oTgtZIep2hLdTHG-chM0w9aHBSSpJHwm6lak/edit?usp=sharing"","""&amp;"รวมตะวันออกเฉียงเหนือ!I506"")+IMPORTRANGE(""https://docs.google.com/spreadsheets/d/1dCxWUCc_SKNp-qd8qsaa5pPX_-BuQqWJ_-8FnsS4Ki0/edit?usp=sharing"",""รวมกลาง!I506"")+IMPORTRANGE(""https://docs.google.com/spreadsheets/d/1uOzBKYgpuhMUe0xXQLXSct3xZ80hakAMJHdG"&amp;"Jh9616E/edit?usp=sharing"",""รวมใต้!I506"")"),0)</f>
        <v>0</v>
      </c>
      <c r="J517" s="187">
        <f ca="1">IFERROR(__xludf.DUMMYFUNCTION("IMPORTRANGE(""https://docs.google.com/spreadsheets/d/1yGy89TWty5kAjAO5OL1fLLQ_DL8fVJHFf2LvMm8qymA/edit?usp=sharing"",""รวมเหนือ!J506"")+IMPORTRANGE(""https://docs.google.com/spreadsheets/d/1bWGR5Y7oTgtZIep2hLdTHG-chM0w9aHBSSpJHwm6lak/edit?usp=sharing"","""&amp;"รวมตะวันออกเฉียงเหนือ!J506"")+IMPORTRANGE(""https://docs.google.com/spreadsheets/d/1dCxWUCc_SKNp-qd8qsaa5pPX_-BuQqWJ_-8FnsS4Ki0/edit?usp=sharing"",""รวมกลาง!J506"")+IMPORTRANGE(""https://docs.google.com/spreadsheets/d/1uOzBKYgpuhMUe0xXQLXSct3xZ80hakAMJHdG"&amp;"Jh9616E/edit?usp=sharing"",""รวมใต้!J506"")"),26)</f>
        <v>26</v>
      </c>
      <c r="K517" s="163">
        <f t="shared" ca="1" si="131"/>
        <v>0</v>
      </c>
      <c r="L517" s="180"/>
      <c r="M517" s="180"/>
      <c r="N517" s="180"/>
      <c r="O517" s="180"/>
      <c r="P517" s="180"/>
    </row>
    <row r="518" spans="1:16" ht="21.75" customHeight="1" x14ac:dyDescent="0.3">
      <c r="A518" s="174"/>
      <c r="B518" s="175"/>
      <c r="C518" s="175"/>
      <c r="D518" s="192"/>
      <c r="E518" s="194"/>
      <c r="F518" s="194"/>
      <c r="G518" s="194"/>
      <c r="H518" s="428" t="s">
        <v>36</v>
      </c>
      <c r="I518" s="186">
        <f ca="1">IFERROR(__xludf.DUMMYFUNCTION("IMPORTRANGE(""https://docs.google.com/spreadsheets/d/1yGy89TWty5kAjAO5OL1fLLQ_DL8fVJHFf2LvMm8qymA/edit?usp=sharing"",""รวมเหนือ!I507"")+IMPORTRANGE(""https://docs.google.com/spreadsheets/d/1bWGR5Y7oTgtZIep2hLdTHG-chM0w9aHBSSpJHwm6lak/edit?usp=sharing"","""&amp;"รวมตะวันออกเฉียงเหนือ!I507"")+IMPORTRANGE(""https://docs.google.com/spreadsheets/d/1dCxWUCc_SKNp-qd8qsaa5pPX_-BuQqWJ_-8FnsS4Ki0/edit?usp=sharing"",""รวมกลาง!I507"")+IMPORTRANGE(""https://docs.google.com/spreadsheets/d/1uOzBKYgpuhMUe0xXQLXSct3xZ80hakAMJHdG"&amp;"Jh9616E/edit?usp=sharing"",""รวมใต้!I507"")"),0)</f>
        <v>0</v>
      </c>
      <c r="J518" s="186">
        <f ca="1">IFERROR(__xludf.DUMMYFUNCTION("IMPORTRANGE(""https://docs.google.com/spreadsheets/d/1yGy89TWty5kAjAO5OL1fLLQ_DL8fVJHFf2LvMm8qymA/edit?usp=sharing"",""รวมเหนือ!J507"")+IMPORTRANGE(""https://docs.google.com/spreadsheets/d/1bWGR5Y7oTgtZIep2hLdTHG-chM0w9aHBSSpJHwm6lak/edit?usp=sharing"","""&amp;"รวมตะวันออกเฉียงเหนือ!J507"")+IMPORTRANGE(""https://docs.google.com/spreadsheets/d/1dCxWUCc_SKNp-qd8qsaa5pPX_-BuQqWJ_-8FnsS4Ki0/edit?usp=sharing"",""รวมกลาง!J507"")+IMPORTRANGE(""https://docs.google.com/spreadsheets/d/1uOzBKYgpuhMUe0xXQLXSct3xZ80hakAMJHdG"&amp;"Jh9616E/edit?usp=sharing"",""รวมใต้!J507"")"),1)</f>
        <v>1</v>
      </c>
      <c r="K518" s="163">
        <f t="shared" ca="1" si="131"/>
        <v>0</v>
      </c>
      <c r="L518" s="180"/>
      <c r="M518" s="180"/>
      <c r="N518" s="180"/>
      <c r="O518" s="180"/>
      <c r="P518" s="180"/>
    </row>
    <row r="519" spans="1:16" ht="21.75" customHeight="1" x14ac:dyDescent="0.3">
      <c r="A519" s="174"/>
      <c r="B519" s="175"/>
      <c r="C519" s="175"/>
      <c r="D519" s="192"/>
      <c r="E519" s="193" t="s">
        <v>188</v>
      </c>
      <c r="F519" s="194"/>
      <c r="G519" s="427"/>
      <c r="H519" s="428" t="s">
        <v>121</v>
      </c>
      <c r="I519" s="186">
        <f ca="1">IFERROR(__xludf.DUMMYFUNCTION("IMPORTRANGE(""https://docs.google.com/spreadsheets/d/1yGy89TWty5kAjAO5OL1fLLQ_DL8fVJHFf2LvMm8qymA/edit?usp=sharing"",""รวมเหนือ!I508"")+IMPORTRANGE(""https://docs.google.com/spreadsheets/d/1bWGR5Y7oTgtZIep2hLdTHG-chM0w9aHBSSpJHwm6lak/edit?usp=sharing"","""&amp;"รวมตะวันออกเฉียงเหนือ!I508"")+IMPORTRANGE(""https://docs.google.com/spreadsheets/d/1dCxWUCc_SKNp-qd8qsaa5pPX_-BuQqWJ_-8FnsS4Ki0/edit?usp=sharing"",""รวมกลาง!I508"")+IMPORTRANGE(""https://docs.google.com/spreadsheets/d/1uOzBKYgpuhMUe0xXQLXSct3xZ80hakAMJHdG"&amp;"Jh9616E/edit?usp=sharing"",""รวมใต้!I508"")"),0)</f>
        <v>0</v>
      </c>
      <c r="J519" s="162">
        <f ca="1">IFERROR(__xludf.DUMMYFUNCTION("IMPORTRANGE(""https://docs.google.com/spreadsheets/d/1yGy89TWty5kAjAO5OL1fLLQ_DL8fVJHFf2LvMm8qymA/edit?usp=sharing"",""รวมเหนือ!J508"")+IMPORTRANGE(""https://docs.google.com/spreadsheets/d/1bWGR5Y7oTgtZIep2hLdTHG-chM0w9aHBSSpJHwm6lak/edit?usp=sharing"","""&amp;"รวมตะวันออกเฉียงเหนือ!J508"")+IMPORTRANGE(""https://docs.google.com/spreadsheets/d/1dCxWUCc_SKNp-qd8qsaa5pPX_-BuQqWJ_-8FnsS4Ki0/edit?usp=sharing"",""รวมกลาง!J508"")+IMPORTRANGE(""https://docs.google.com/spreadsheets/d/1uOzBKYgpuhMUe0xXQLXSct3xZ80hakAMJHdG"&amp;"Jh9616E/edit?usp=sharing"",""รวมใต้!J508"")"),3103.87749999999)</f>
        <v>3103.8774999999901</v>
      </c>
      <c r="K519" s="163">
        <f t="shared" ca="1" si="131"/>
        <v>0</v>
      </c>
      <c r="L519" s="180"/>
      <c r="M519" s="180"/>
      <c r="N519" s="180"/>
      <c r="O519" s="180"/>
      <c r="P519" s="180"/>
    </row>
    <row r="520" spans="1:16" ht="21.75" customHeight="1" x14ac:dyDescent="0.3">
      <c r="A520" s="174"/>
      <c r="B520" s="175"/>
      <c r="C520" s="175"/>
      <c r="D520" s="192"/>
      <c r="E520" s="194"/>
      <c r="F520" s="194"/>
      <c r="G520" s="194"/>
      <c r="H520" s="428" t="s">
        <v>36</v>
      </c>
      <c r="I520" s="186">
        <f ca="1">IFERROR(__xludf.DUMMYFUNCTION("IMPORTRANGE(""https://docs.google.com/spreadsheets/d/1yGy89TWty5kAjAO5OL1fLLQ_DL8fVJHFf2LvMm8qymA/edit?usp=sharing"",""รวมเหนือ!I509"")+IMPORTRANGE(""https://docs.google.com/spreadsheets/d/1bWGR5Y7oTgtZIep2hLdTHG-chM0w9aHBSSpJHwm6lak/edit?usp=sharing"","""&amp;"รวมตะวันออกเฉียงเหนือ!I509"")+IMPORTRANGE(""https://docs.google.com/spreadsheets/d/1dCxWUCc_SKNp-qd8qsaa5pPX_-BuQqWJ_-8FnsS4Ki0/edit?usp=sharing"",""รวมกลาง!I509"")+IMPORTRANGE(""https://docs.google.com/spreadsheets/d/1uOzBKYgpuhMUe0xXQLXSct3xZ80hakAMJHdG"&amp;"Jh9616E/edit?usp=sharing"",""รวมใต้!I509"")"),0)</f>
        <v>0</v>
      </c>
      <c r="J520" s="162">
        <f ca="1">IFERROR(__xludf.DUMMYFUNCTION("IMPORTRANGE(""https://docs.google.com/spreadsheets/d/1yGy89TWty5kAjAO5OL1fLLQ_DL8fVJHFf2LvMm8qymA/edit?usp=sharing"",""รวมเหนือ!J509"")+IMPORTRANGE(""https://docs.google.com/spreadsheets/d/1bWGR5Y7oTgtZIep2hLdTHG-chM0w9aHBSSpJHwm6lak/edit?usp=sharing"","""&amp;"รวมตะวันออกเฉียงเหนือ!J509"")+IMPORTRANGE(""https://docs.google.com/spreadsheets/d/1dCxWUCc_SKNp-qd8qsaa5pPX_-BuQqWJ_-8FnsS4Ki0/edit?usp=sharing"",""รวมกลาง!J509"")+IMPORTRANGE(""https://docs.google.com/spreadsheets/d/1uOzBKYgpuhMUe0xXQLXSct3xZ80hakAMJHdG"&amp;"Jh9616E/edit?usp=sharing"",""รวมใต้!J509"")"),366)</f>
        <v>366</v>
      </c>
      <c r="K520" s="163">
        <f t="shared" ca="1" si="131"/>
        <v>0</v>
      </c>
      <c r="L520" s="180"/>
      <c r="M520" s="180"/>
      <c r="N520" s="180"/>
      <c r="O520" s="180"/>
      <c r="P520" s="180"/>
    </row>
    <row r="521" spans="1:16" ht="21.75" customHeight="1" x14ac:dyDescent="0.3">
      <c r="A521" s="174"/>
      <c r="B521" s="175"/>
      <c r="C521" s="175"/>
      <c r="D521" s="192"/>
      <c r="E521" s="194"/>
      <c r="F521" s="193" t="s">
        <v>189</v>
      </c>
      <c r="G521" s="194"/>
      <c r="H521" s="428" t="s">
        <v>121</v>
      </c>
      <c r="I521" s="186">
        <f ca="1">IFERROR(__xludf.DUMMYFUNCTION("IMPORTRANGE(""https://docs.google.com/spreadsheets/d/1yGy89TWty5kAjAO5OL1fLLQ_DL8fVJHFf2LvMm8qymA/edit?usp=sharing"",""รวมเหนือ!I510"")+IMPORTRANGE(""https://docs.google.com/spreadsheets/d/1bWGR5Y7oTgtZIep2hLdTHG-chM0w9aHBSSpJHwm6lak/edit?usp=sharing"","""&amp;"รวมตะวันออกเฉียงเหนือ!I510"")+IMPORTRANGE(""https://docs.google.com/spreadsheets/d/1dCxWUCc_SKNp-qd8qsaa5pPX_-BuQqWJ_-8FnsS4Ki0/edit?usp=sharing"",""รวมกลาง!I510"")+IMPORTRANGE(""https://docs.google.com/spreadsheets/d/1uOzBKYgpuhMUe0xXQLXSct3xZ80hakAMJHdG"&amp;"Jh9616E/edit?usp=sharing"",""รวมใต้!I510"")"),0)</f>
        <v>0</v>
      </c>
      <c r="J521" s="186">
        <f ca="1">IFERROR(__xludf.DUMMYFUNCTION("IMPORTRANGE(""https://docs.google.com/spreadsheets/d/1yGy89TWty5kAjAO5OL1fLLQ_DL8fVJHFf2LvMm8qymA/edit?usp=sharing"",""รวมเหนือ!J510"")+IMPORTRANGE(""https://docs.google.com/spreadsheets/d/1bWGR5Y7oTgtZIep2hLdTHG-chM0w9aHBSSpJHwm6lak/edit?usp=sharing"","""&amp;"รวมตะวันออกเฉียงเหนือ!J510"")+IMPORTRANGE(""https://docs.google.com/spreadsheets/d/1dCxWUCc_SKNp-qd8qsaa5pPX_-BuQqWJ_-8FnsS4Ki0/edit?usp=sharing"",""รวมกลาง!J510"")+IMPORTRANGE(""https://docs.google.com/spreadsheets/d/1uOzBKYgpuhMUe0xXQLXSct3xZ80hakAMJHdG"&amp;"Jh9616E/edit?usp=sharing"",""รวมใต้!J510"")"),2805.195)</f>
        <v>2805.1950000000002</v>
      </c>
      <c r="K521" s="163">
        <f t="shared" ca="1" si="131"/>
        <v>0</v>
      </c>
      <c r="L521" s="180"/>
      <c r="M521" s="180"/>
      <c r="N521" s="180"/>
      <c r="O521" s="180"/>
      <c r="P521" s="180"/>
    </row>
    <row r="522" spans="1:16" ht="21.75" customHeight="1" x14ac:dyDescent="0.3">
      <c r="A522" s="174"/>
      <c r="B522" s="175"/>
      <c r="C522" s="175"/>
      <c r="D522" s="192"/>
      <c r="E522" s="194"/>
      <c r="F522" s="194"/>
      <c r="G522" s="194"/>
      <c r="H522" s="428" t="s">
        <v>36</v>
      </c>
      <c r="I522" s="186">
        <f ca="1">IFERROR(__xludf.DUMMYFUNCTION("IMPORTRANGE(""https://docs.google.com/spreadsheets/d/1yGy89TWty5kAjAO5OL1fLLQ_DL8fVJHFf2LvMm8qymA/edit?usp=sharing"",""รวมเหนือ!I511"")+IMPORTRANGE(""https://docs.google.com/spreadsheets/d/1bWGR5Y7oTgtZIep2hLdTHG-chM0w9aHBSSpJHwm6lak/edit?usp=sharing"","""&amp;"รวมตะวันออกเฉียงเหนือ!I511"")+IMPORTRANGE(""https://docs.google.com/spreadsheets/d/1dCxWUCc_SKNp-qd8qsaa5pPX_-BuQqWJ_-8FnsS4Ki0/edit?usp=sharing"",""รวมกลาง!I511"")+IMPORTRANGE(""https://docs.google.com/spreadsheets/d/1uOzBKYgpuhMUe0xXQLXSct3xZ80hakAMJHdG"&amp;"Jh9616E/edit?usp=sharing"",""รวมใต้!I511"")"),0)</f>
        <v>0</v>
      </c>
      <c r="J522" s="186">
        <f ca="1">IFERROR(__xludf.DUMMYFUNCTION("IMPORTRANGE(""https://docs.google.com/spreadsheets/d/1yGy89TWty5kAjAO5OL1fLLQ_DL8fVJHFf2LvMm8qymA/edit?usp=sharing"",""รวมเหนือ!J511"")+IMPORTRANGE(""https://docs.google.com/spreadsheets/d/1bWGR5Y7oTgtZIep2hLdTHG-chM0w9aHBSSpJHwm6lak/edit?usp=sharing"","""&amp;"รวมตะวันออกเฉียงเหนือ!J511"")+IMPORTRANGE(""https://docs.google.com/spreadsheets/d/1dCxWUCc_SKNp-qd8qsaa5pPX_-BuQqWJ_-8FnsS4Ki0/edit?usp=sharing"",""รวมกลาง!J511"")+IMPORTRANGE(""https://docs.google.com/spreadsheets/d/1uOzBKYgpuhMUe0xXQLXSct3xZ80hakAMJHdG"&amp;"Jh9616E/edit?usp=sharing"",""รวมใต้!J511"")"),327)</f>
        <v>327</v>
      </c>
      <c r="K522" s="163">
        <f t="shared" ca="1" si="131"/>
        <v>0</v>
      </c>
      <c r="L522" s="180"/>
      <c r="M522" s="180"/>
      <c r="N522" s="180"/>
      <c r="O522" s="180"/>
      <c r="P522" s="180"/>
    </row>
    <row r="523" spans="1:16" ht="21.75" customHeight="1" x14ac:dyDescent="0.3">
      <c r="A523" s="174"/>
      <c r="B523" s="175"/>
      <c r="C523" s="175"/>
      <c r="D523" s="192"/>
      <c r="E523" s="194"/>
      <c r="F523" s="193" t="s">
        <v>190</v>
      </c>
      <c r="G523" s="194"/>
      <c r="H523" s="428" t="s">
        <v>121</v>
      </c>
      <c r="I523" s="186">
        <f ca="1">IFERROR(__xludf.DUMMYFUNCTION("IMPORTRANGE(""https://docs.google.com/spreadsheets/d/1yGy89TWty5kAjAO5OL1fLLQ_DL8fVJHFf2LvMm8qymA/edit?usp=sharing"",""รวมเหนือ!I512"")+IMPORTRANGE(""https://docs.google.com/spreadsheets/d/1bWGR5Y7oTgtZIep2hLdTHG-chM0w9aHBSSpJHwm6lak/edit?usp=sharing"","""&amp;"รวมตะวันออกเฉียงเหนือ!I512"")+IMPORTRANGE(""https://docs.google.com/spreadsheets/d/1dCxWUCc_SKNp-qd8qsaa5pPX_-BuQqWJ_-8FnsS4Ki0/edit?usp=sharing"",""รวมกลาง!I512"")+IMPORTRANGE(""https://docs.google.com/spreadsheets/d/1uOzBKYgpuhMUe0xXQLXSct3xZ80hakAMJHdG"&amp;"Jh9616E/edit?usp=sharing"",""รวมใต้!I512"")"),0)</f>
        <v>0</v>
      </c>
      <c r="J523" s="186">
        <f ca="1">IFERROR(__xludf.DUMMYFUNCTION("IMPORTRANGE(""https://docs.google.com/spreadsheets/d/1yGy89TWty5kAjAO5OL1fLLQ_DL8fVJHFf2LvMm8qymA/edit?usp=sharing"",""รวมเหนือ!J512"")+IMPORTRANGE(""https://docs.google.com/spreadsheets/d/1bWGR5Y7oTgtZIep2hLdTHG-chM0w9aHBSSpJHwm6lak/edit?usp=sharing"","""&amp;"รวมตะวันออกเฉียงเหนือ!J512"")+IMPORTRANGE(""https://docs.google.com/spreadsheets/d/1dCxWUCc_SKNp-qd8qsaa5pPX_-BuQqWJ_-8FnsS4Ki0/edit?usp=sharing"",""รวมกลาง!J512"")+IMPORTRANGE(""https://docs.google.com/spreadsheets/d/1uOzBKYgpuhMUe0xXQLXSct3xZ80hakAMJHdG"&amp;"Jh9616E/edit?usp=sharing"",""รวมใต้!J512"")"),298.6825)</f>
        <v>298.6825</v>
      </c>
      <c r="K523" s="163">
        <f t="shared" ca="1" si="131"/>
        <v>0</v>
      </c>
      <c r="L523" s="180"/>
      <c r="M523" s="180"/>
      <c r="N523" s="180"/>
      <c r="O523" s="180"/>
      <c r="P523" s="180"/>
    </row>
    <row r="524" spans="1:16" ht="21.75" customHeight="1" x14ac:dyDescent="0.3">
      <c r="A524" s="174"/>
      <c r="B524" s="175"/>
      <c r="C524" s="175"/>
      <c r="D524" s="192"/>
      <c r="E524" s="194"/>
      <c r="F524" s="194"/>
      <c r="G524" s="195"/>
      <c r="H524" s="428" t="s">
        <v>36</v>
      </c>
      <c r="I524" s="186">
        <f ca="1">IFERROR(__xludf.DUMMYFUNCTION("IMPORTRANGE(""https://docs.google.com/spreadsheets/d/1yGy89TWty5kAjAO5OL1fLLQ_DL8fVJHFf2LvMm8qymA/edit?usp=sharing"",""รวมเหนือ!I513"")+IMPORTRANGE(""https://docs.google.com/spreadsheets/d/1bWGR5Y7oTgtZIep2hLdTHG-chM0w9aHBSSpJHwm6lak/edit?usp=sharing"","""&amp;"รวมตะวันออกเฉียงเหนือ!I513"")+IMPORTRANGE(""https://docs.google.com/spreadsheets/d/1dCxWUCc_SKNp-qd8qsaa5pPX_-BuQqWJ_-8FnsS4Ki0/edit?usp=sharing"",""รวมกลาง!I513"")+IMPORTRANGE(""https://docs.google.com/spreadsheets/d/1uOzBKYgpuhMUe0xXQLXSct3xZ80hakAMJHdG"&amp;"Jh9616E/edit?usp=sharing"",""รวมใต้!I513"")"),0)</f>
        <v>0</v>
      </c>
      <c r="J524" s="186">
        <f ca="1">IFERROR(__xludf.DUMMYFUNCTION("IMPORTRANGE(""https://docs.google.com/spreadsheets/d/1yGy89TWty5kAjAO5OL1fLLQ_DL8fVJHFf2LvMm8qymA/edit?usp=sharing"",""รวมเหนือ!J513"")+IMPORTRANGE(""https://docs.google.com/spreadsheets/d/1bWGR5Y7oTgtZIep2hLdTHG-chM0w9aHBSSpJHwm6lak/edit?usp=sharing"","""&amp;"รวมตะวันออกเฉียงเหนือ!J513"")+IMPORTRANGE(""https://docs.google.com/spreadsheets/d/1dCxWUCc_SKNp-qd8qsaa5pPX_-BuQqWJ_-8FnsS4Ki0/edit?usp=sharing"",""รวมกลาง!J513"")+IMPORTRANGE(""https://docs.google.com/spreadsheets/d/1uOzBKYgpuhMUe0xXQLXSct3xZ80hakAMJHdG"&amp;"Jh9616E/edit?usp=sharing"",""รวมใต้!J513"")"),39)</f>
        <v>39</v>
      </c>
      <c r="K524" s="163">
        <f t="shared" ca="1" si="131"/>
        <v>0</v>
      </c>
      <c r="L524" s="180"/>
      <c r="M524" s="180"/>
      <c r="N524" s="180"/>
      <c r="O524" s="180"/>
      <c r="P524" s="180"/>
    </row>
    <row r="525" spans="1:16" ht="21.75" customHeight="1" x14ac:dyDescent="0.3">
      <c r="A525" s="174"/>
      <c r="B525" s="175"/>
      <c r="C525" s="175"/>
      <c r="D525" s="407"/>
      <c r="E525" s="456" t="s">
        <v>191</v>
      </c>
      <c r="F525" s="194"/>
      <c r="G525" s="195"/>
      <c r="H525" s="428" t="s">
        <v>121</v>
      </c>
      <c r="I525" s="186">
        <f ca="1">IFERROR(__xludf.DUMMYFUNCTION("IMPORTRANGE(""https://docs.google.com/spreadsheets/d/1yGy89TWty5kAjAO5OL1fLLQ_DL8fVJHFf2LvMm8qymA/edit?usp=sharing"",""รวมเหนือ!I514"")+IMPORTRANGE(""https://docs.google.com/spreadsheets/d/1bWGR5Y7oTgtZIep2hLdTHG-chM0w9aHBSSpJHwm6lak/edit?usp=sharing"","""&amp;"รวมตะวันออกเฉียงเหนือ!I514"")+IMPORTRANGE(""https://docs.google.com/spreadsheets/d/1dCxWUCc_SKNp-qd8qsaa5pPX_-BuQqWJ_-8FnsS4Ki0/edit?usp=sharing"",""รวมกลาง!I514"")+IMPORTRANGE(""https://docs.google.com/spreadsheets/d/1uOzBKYgpuhMUe0xXQLXSct3xZ80hakAMJHdG"&amp;"Jh9616E/edit?usp=sharing"",""รวมใต้!I514"")"),0)</f>
        <v>0</v>
      </c>
      <c r="J525" s="186">
        <f ca="1">IFERROR(__xludf.DUMMYFUNCTION("IMPORTRANGE(""https://docs.google.com/spreadsheets/d/1yGy89TWty5kAjAO5OL1fLLQ_DL8fVJHFf2LvMm8qymA/edit?usp=sharing"",""รวมเหนือ!J514"")+IMPORTRANGE(""https://docs.google.com/spreadsheets/d/1bWGR5Y7oTgtZIep2hLdTHG-chM0w9aHBSSpJHwm6lak/edit?usp=sharing"","""&amp;"รวมตะวันออกเฉียงเหนือ!J514"")+IMPORTRANGE(""https://docs.google.com/spreadsheets/d/1dCxWUCc_SKNp-qd8qsaa5pPX_-BuQqWJ_-8FnsS4Ki0/edit?usp=sharing"",""รวมกลาง!J514"")+IMPORTRANGE(""https://docs.google.com/spreadsheets/d/1uOzBKYgpuhMUe0xXQLXSct3xZ80hakAMJHdG"&amp;"Jh9616E/edit?usp=sharing"",""รวมใต้!J514"")"),1820.83)</f>
        <v>1820.83</v>
      </c>
      <c r="K525" s="163">
        <f t="shared" ca="1" si="131"/>
        <v>0</v>
      </c>
      <c r="L525" s="180"/>
      <c r="M525" s="180"/>
      <c r="N525" s="180"/>
      <c r="O525" s="180"/>
      <c r="P525" s="180"/>
    </row>
    <row r="526" spans="1:16" ht="21.75" customHeight="1" x14ac:dyDescent="0.3">
      <c r="A526" s="174"/>
      <c r="B526" s="175"/>
      <c r="C526" s="175"/>
      <c r="D526" s="192"/>
      <c r="E526" s="194"/>
      <c r="F526" s="194"/>
      <c r="G526" s="195"/>
      <c r="H526" s="428" t="s">
        <v>36</v>
      </c>
      <c r="I526" s="186">
        <f ca="1">IFERROR(__xludf.DUMMYFUNCTION("IMPORTRANGE(""https://docs.google.com/spreadsheets/d/1yGy89TWty5kAjAO5OL1fLLQ_DL8fVJHFf2LvMm8qymA/edit?usp=sharing"",""รวมเหนือ!I515"")+IMPORTRANGE(""https://docs.google.com/spreadsheets/d/1bWGR5Y7oTgtZIep2hLdTHG-chM0w9aHBSSpJHwm6lak/edit?usp=sharing"","""&amp;"รวมตะวันออกเฉียงเหนือ!I515"")+IMPORTRANGE(""https://docs.google.com/spreadsheets/d/1dCxWUCc_SKNp-qd8qsaa5pPX_-BuQqWJ_-8FnsS4Ki0/edit?usp=sharing"",""รวมกลาง!I515"")+IMPORTRANGE(""https://docs.google.com/spreadsheets/d/1uOzBKYgpuhMUe0xXQLXSct3xZ80hakAMJHdG"&amp;"Jh9616E/edit?usp=sharing"",""รวมใต้!I515"")"),0)</f>
        <v>0</v>
      </c>
      <c r="J526" s="186">
        <f ca="1">IFERROR(__xludf.DUMMYFUNCTION("IMPORTRANGE(""https://docs.google.com/spreadsheets/d/1yGy89TWty5kAjAO5OL1fLLQ_DL8fVJHFf2LvMm8qymA/edit?usp=sharing"",""รวมเหนือ!J515"")+IMPORTRANGE(""https://docs.google.com/spreadsheets/d/1bWGR5Y7oTgtZIep2hLdTHG-chM0w9aHBSSpJHwm6lak/edit?usp=sharing"","""&amp;"รวมตะวันออกเฉียงเหนือ!J515"")+IMPORTRANGE(""https://docs.google.com/spreadsheets/d/1dCxWUCc_SKNp-qd8qsaa5pPX_-BuQqWJ_-8FnsS4Ki0/edit?usp=sharing"",""รวมกลาง!J515"")+IMPORTRANGE(""https://docs.google.com/spreadsheets/d/1uOzBKYgpuhMUe0xXQLXSct3xZ80hakAMJHdG"&amp;"Jh9616E/edit?usp=sharing"",""รวมใต้!J515"")"),400)</f>
        <v>400</v>
      </c>
      <c r="K526" s="163">
        <f t="shared" ca="1" si="131"/>
        <v>0</v>
      </c>
      <c r="L526" s="180"/>
      <c r="M526" s="180"/>
      <c r="N526" s="180"/>
      <c r="O526" s="180"/>
      <c r="P526" s="180"/>
    </row>
    <row r="527" spans="1:16" ht="21.75" customHeight="1" x14ac:dyDescent="0.3">
      <c r="A527" s="174"/>
      <c r="B527" s="175"/>
      <c r="C527" s="421" t="s">
        <v>192</v>
      </c>
      <c r="D527" s="421"/>
      <c r="E527" s="457"/>
      <c r="F527" s="457"/>
      <c r="G527" s="458"/>
      <c r="H527" s="459" t="s">
        <v>121</v>
      </c>
      <c r="I527" s="263">
        <f ca="1">IFERROR(__xludf.DUMMYFUNCTION("IMPORTRANGE(""https://docs.google.com/spreadsheets/d/1-fhVXPMm30suWK0-eslVgeT9cTVfCsDeUsq7Bk5UZE8/edit?usp=sharing"",""ทั้งประเทศ!I411"")"),2500000)</f>
        <v>2500000</v>
      </c>
      <c r="J527" s="263">
        <f ca="1">J530+J532</f>
        <v>2179872</v>
      </c>
      <c r="K527" s="264">
        <f t="shared" ca="1" si="131"/>
        <v>87.194879999999998</v>
      </c>
      <c r="L527" s="180"/>
      <c r="M527" s="180"/>
      <c r="N527" s="180"/>
      <c r="O527" s="180"/>
      <c r="P527" s="180"/>
    </row>
    <row r="528" spans="1:16" ht="21.75" customHeight="1" x14ac:dyDescent="0.3">
      <c r="A528" s="174"/>
      <c r="B528" s="175"/>
      <c r="C528" s="460"/>
      <c r="D528" s="460"/>
      <c r="E528" s="460" t="s">
        <v>193</v>
      </c>
      <c r="F528" s="461"/>
      <c r="G528" s="462"/>
      <c r="H528" s="463" t="s">
        <v>121</v>
      </c>
      <c r="I528" s="283">
        <f ca="1">IFERROR(__xludf.DUMMYFUNCTION("IMPORTRANGE(""https://docs.google.com/spreadsheets/d/1yGy89TWty5kAjAO5OL1fLLQ_DL8fVJHFf2LvMm8qymA/edit?usp=sharing"",""รวมเหนือ!I517"")+IMPORTRANGE(""https://docs.google.com/spreadsheets/d/1bWGR5Y7oTgtZIep2hLdTHG-chM0w9aHBSSpJHwm6lak/edit?usp=sharing"","""&amp;"รวมตะวันออกเฉียงเหนือ!I517"")+IMPORTRANGE(""https://docs.google.com/spreadsheets/d/1dCxWUCc_SKNp-qd8qsaa5pPX_-BuQqWJ_-8FnsS4Ki0/edit?usp=sharing"",""รวมกลาง!I517"")+IMPORTRANGE(""https://docs.google.com/spreadsheets/d/1uOzBKYgpuhMUe0xXQLXSct3xZ80hakAMJHdG"&amp;"Jh9616E/edit?usp=sharing"",""รวมใต้!I517"")"),0)</f>
        <v>0</v>
      </c>
      <c r="J528" s="283">
        <f t="shared" ref="J528:J529" ca="1" si="132">J530+J532</f>
        <v>2179872</v>
      </c>
      <c r="K528" s="284">
        <v>0</v>
      </c>
      <c r="L528" s="180"/>
      <c r="M528" s="180"/>
      <c r="N528" s="180"/>
      <c r="O528" s="180"/>
      <c r="P528" s="180"/>
    </row>
    <row r="529" spans="1:16" ht="21.75" customHeight="1" x14ac:dyDescent="0.3">
      <c r="A529" s="174"/>
      <c r="B529" s="175"/>
      <c r="C529" s="460"/>
      <c r="D529" s="460"/>
      <c r="E529" s="460" t="s">
        <v>194</v>
      </c>
      <c r="F529" s="461"/>
      <c r="G529" s="462"/>
      <c r="H529" s="463" t="s">
        <v>36</v>
      </c>
      <c r="I529" s="283">
        <f ca="1">IFERROR(__xludf.DUMMYFUNCTION("IMPORTRANGE(""https://docs.google.com/spreadsheets/d/1yGy89TWty5kAjAO5OL1fLLQ_DL8fVJHFf2LvMm8qymA/edit?usp=sharing"",""รวมเหนือ!I518"")+IMPORTRANGE(""https://docs.google.com/spreadsheets/d/1bWGR5Y7oTgtZIep2hLdTHG-chM0w9aHBSSpJHwm6lak/edit?usp=sharing"","""&amp;"รวมตะวันออกเฉียงเหนือ!I518"")+IMPORTRANGE(""https://docs.google.com/spreadsheets/d/1dCxWUCc_SKNp-qd8qsaa5pPX_-BuQqWJ_-8FnsS4Ki0/edit?usp=sharing"",""รวมกลาง!I518"")+IMPORTRANGE(""https://docs.google.com/spreadsheets/d/1uOzBKYgpuhMUe0xXQLXSct3xZ80hakAMJHdG"&amp;"Jh9616E/edit?usp=sharing"",""รวมใต้!I518"")"),0)</f>
        <v>0</v>
      </c>
      <c r="J529" s="283">
        <f t="shared" ca="1" si="132"/>
        <v>219479</v>
      </c>
      <c r="K529" s="284">
        <v>0</v>
      </c>
      <c r="L529" s="180"/>
      <c r="M529" s="180"/>
      <c r="N529" s="180"/>
      <c r="O529" s="180"/>
      <c r="P529" s="180"/>
    </row>
    <row r="530" spans="1:16" ht="21.75" customHeight="1" x14ac:dyDescent="0.3">
      <c r="A530" s="174"/>
      <c r="B530" s="175"/>
      <c r="C530" s="175"/>
      <c r="D530" s="192"/>
      <c r="E530" s="194"/>
      <c r="F530" s="194"/>
      <c r="G530" s="288" t="s">
        <v>195</v>
      </c>
      <c r="H530" s="428" t="s">
        <v>121</v>
      </c>
      <c r="I530" s="186">
        <f ca="1">IFERROR(__xludf.DUMMYFUNCTION("IMPORTRANGE(""https://docs.google.com/spreadsheets/d/1yGy89TWty5kAjAO5OL1fLLQ_DL8fVJHFf2LvMm8qymA/edit?usp=sharing"",""รวมเหนือ!I519"")+IMPORTRANGE(""https://docs.google.com/spreadsheets/d/1bWGR5Y7oTgtZIep2hLdTHG-chM0w9aHBSSpJHwm6lak/edit?usp=sharing"","""&amp;"รวมตะวันออกเฉียงเหนือ!I519"")+IMPORTRANGE(""https://docs.google.com/spreadsheets/d/1dCxWUCc_SKNp-qd8qsaa5pPX_-BuQqWJ_-8FnsS4Ki0/edit?usp=sharing"",""รวมกลาง!I519"")+IMPORTRANGE(""https://docs.google.com/spreadsheets/d/1uOzBKYgpuhMUe0xXQLXSct3xZ80hakAMJHdG"&amp;"Jh9616E/edit?usp=sharing"",""รวมใต้!I519"")"),0)</f>
        <v>0</v>
      </c>
      <c r="J530" s="186">
        <f ca="1">IFERROR(__xludf.DUMMYFUNCTION("IMPORTRANGE(""https://docs.google.com/spreadsheets/d/1-fhVXPMm30suWK0-eslVgeT9cTVfCsDeUsq7Bk5UZE8/edit?usp=sharing"",""ทั้งประเทศ!J414"")"),2168699)</f>
        <v>2168699</v>
      </c>
      <c r="K530" s="163">
        <v>0</v>
      </c>
      <c r="L530" s="180"/>
      <c r="M530" s="180"/>
      <c r="N530" s="180"/>
      <c r="O530" s="180"/>
      <c r="P530" s="180"/>
    </row>
    <row r="531" spans="1:16" ht="21.75" customHeight="1" x14ac:dyDescent="0.3">
      <c r="A531" s="174"/>
      <c r="B531" s="175"/>
      <c r="C531" s="175"/>
      <c r="D531" s="192"/>
      <c r="E531" s="194"/>
      <c r="F531" s="194"/>
      <c r="G531" s="195"/>
      <c r="H531" s="428" t="s">
        <v>36</v>
      </c>
      <c r="I531" s="186">
        <f ca="1">IFERROR(__xludf.DUMMYFUNCTION("IMPORTRANGE(""https://docs.google.com/spreadsheets/d/1yGy89TWty5kAjAO5OL1fLLQ_DL8fVJHFf2LvMm8qymA/edit?usp=sharing"",""รวมเหนือ!I520"")+IMPORTRANGE(""https://docs.google.com/spreadsheets/d/1bWGR5Y7oTgtZIep2hLdTHG-chM0w9aHBSSpJHwm6lak/edit?usp=sharing"","""&amp;"รวมตะวันออกเฉียงเหนือ!I520"")+IMPORTRANGE(""https://docs.google.com/spreadsheets/d/1dCxWUCc_SKNp-qd8qsaa5pPX_-BuQqWJ_-8FnsS4Ki0/edit?usp=sharing"",""รวมกลาง!I520"")+IMPORTRANGE(""https://docs.google.com/spreadsheets/d/1uOzBKYgpuhMUe0xXQLXSct3xZ80hakAMJHdG"&amp;"Jh9616E/edit?usp=sharing"",""รวมใต้!I520"")"),0)</f>
        <v>0</v>
      </c>
      <c r="J531" s="186">
        <f ca="1">IFERROR(__xludf.DUMMYFUNCTION("IMPORTRANGE(""https://docs.google.com/spreadsheets/d/1-fhVXPMm30suWK0-eslVgeT9cTVfCsDeUsq7Bk5UZE8/edit?usp=sharing"",""ทั้งประเทศ!J415"")"),218881)</f>
        <v>218881</v>
      </c>
      <c r="K531" s="163">
        <v>0</v>
      </c>
      <c r="L531" s="180"/>
      <c r="M531" s="180"/>
      <c r="N531" s="180"/>
      <c r="O531" s="180"/>
      <c r="P531" s="180"/>
    </row>
    <row r="532" spans="1:16" ht="21.75" customHeight="1" x14ac:dyDescent="0.3">
      <c r="A532" s="174"/>
      <c r="B532" s="175"/>
      <c r="C532" s="175"/>
      <c r="D532" s="192"/>
      <c r="E532" s="194"/>
      <c r="F532" s="194"/>
      <c r="G532" s="288" t="s">
        <v>196</v>
      </c>
      <c r="H532" s="428" t="s">
        <v>121</v>
      </c>
      <c r="I532" s="186">
        <f ca="1">IFERROR(__xludf.DUMMYFUNCTION("IMPORTRANGE(""https://docs.google.com/spreadsheets/d/1yGy89TWty5kAjAO5OL1fLLQ_DL8fVJHFf2LvMm8qymA/edit?usp=sharing"",""รวมเหนือ!I521"")+IMPORTRANGE(""https://docs.google.com/spreadsheets/d/1bWGR5Y7oTgtZIep2hLdTHG-chM0w9aHBSSpJHwm6lak/edit?usp=sharing"","""&amp;"รวมตะวันออกเฉียงเหนือ!I521"")+IMPORTRANGE(""https://docs.google.com/spreadsheets/d/1dCxWUCc_SKNp-qd8qsaa5pPX_-BuQqWJ_-8FnsS4Ki0/edit?usp=sharing"",""รวมกลาง!I521"")+IMPORTRANGE(""https://docs.google.com/spreadsheets/d/1uOzBKYgpuhMUe0xXQLXSct3xZ80hakAMJHdG"&amp;"Jh9616E/edit?usp=sharing"",""รวมใต้!I521"")"),0)</f>
        <v>0</v>
      </c>
      <c r="J532" s="186">
        <f ca="1">IFERROR(__xludf.DUMMYFUNCTION("IMPORTRANGE(""https://docs.google.com/spreadsheets/d/1-fhVXPMm30suWK0-eslVgeT9cTVfCsDeUsq7Bk5UZE8/edit?usp=sharing"",""ทั้งประเทศ!J416"")"),11173)</f>
        <v>11173</v>
      </c>
      <c r="K532" s="163">
        <v>0</v>
      </c>
      <c r="L532" s="180"/>
      <c r="M532" s="180"/>
      <c r="N532" s="180"/>
      <c r="O532" s="180"/>
      <c r="P532" s="180"/>
    </row>
    <row r="533" spans="1:16" ht="21.75" customHeight="1" x14ac:dyDescent="0.3">
      <c r="A533" s="174"/>
      <c r="B533" s="175"/>
      <c r="C533" s="175"/>
      <c r="D533" s="192"/>
      <c r="E533" s="194"/>
      <c r="F533" s="194"/>
      <c r="G533" s="195"/>
      <c r="H533" s="428" t="s">
        <v>36</v>
      </c>
      <c r="I533" s="186">
        <f ca="1">IFERROR(__xludf.DUMMYFUNCTION("IMPORTRANGE(""https://docs.google.com/spreadsheets/d/1yGy89TWty5kAjAO5OL1fLLQ_DL8fVJHFf2LvMm8qymA/edit?usp=sharing"",""รวมเหนือ!I522"")+IMPORTRANGE(""https://docs.google.com/spreadsheets/d/1bWGR5Y7oTgtZIep2hLdTHG-chM0w9aHBSSpJHwm6lak/edit?usp=sharing"","""&amp;"รวมตะวันออกเฉียงเหนือ!I522"")+IMPORTRANGE(""https://docs.google.com/spreadsheets/d/1dCxWUCc_SKNp-qd8qsaa5pPX_-BuQqWJ_-8FnsS4Ki0/edit?usp=sharing"",""รวมกลาง!I522"")+IMPORTRANGE(""https://docs.google.com/spreadsheets/d/1uOzBKYgpuhMUe0xXQLXSct3xZ80hakAMJHdG"&amp;"Jh9616E/edit?usp=sharing"",""รวมใต้!I522"")"),0)</f>
        <v>0</v>
      </c>
      <c r="J533" s="186">
        <f ca="1">IFERROR(__xludf.DUMMYFUNCTION("IMPORTRANGE(""https://docs.google.com/spreadsheets/d/1-fhVXPMm30suWK0-eslVgeT9cTVfCsDeUsq7Bk5UZE8/edit?usp=sharing"",""ทั้งประเทศ!J417"")"),598)</f>
        <v>598</v>
      </c>
      <c r="K533" s="163">
        <v>0</v>
      </c>
      <c r="L533" s="180"/>
      <c r="M533" s="180"/>
      <c r="N533" s="180"/>
      <c r="O533" s="180"/>
      <c r="P533" s="180"/>
    </row>
    <row r="534" spans="1:16" ht="21.75" customHeight="1" x14ac:dyDescent="0.3">
      <c r="A534" s="174"/>
      <c r="B534" s="175"/>
      <c r="C534" s="175"/>
      <c r="D534" s="192"/>
      <c r="E534" s="194"/>
      <c r="F534" s="194"/>
      <c r="G534" s="464" t="s">
        <v>197</v>
      </c>
      <c r="H534" s="428" t="s">
        <v>121</v>
      </c>
      <c r="I534" s="186">
        <f ca="1">IFERROR(__xludf.DUMMYFUNCTION("IMPORTRANGE(""https://docs.google.com/spreadsheets/d/1yGy89TWty5kAjAO5OL1fLLQ_DL8fVJHFf2LvMm8qymA/edit?usp=sharing"",""รวมเหนือ!I523"")+IMPORTRANGE(""https://docs.google.com/spreadsheets/d/1bWGR5Y7oTgtZIep2hLdTHG-chM0w9aHBSSpJHwm6lak/edit?usp=sharing"","""&amp;"รวมตะวันออกเฉียงเหนือ!I523"")+IMPORTRANGE(""https://docs.google.com/spreadsheets/d/1dCxWUCc_SKNp-qd8qsaa5pPX_-BuQqWJ_-8FnsS4Ki0/edit?usp=sharing"",""รวมกลาง!I523"")+IMPORTRANGE(""https://docs.google.com/spreadsheets/d/1uOzBKYgpuhMUe0xXQLXSct3xZ80hakAMJHdG"&amp;"Jh9616E/edit?usp=sharing"",""รวมใต้!I523"")"),0)</f>
        <v>0</v>
      </c>
      <c r="J534" s="186">
        <f ca="1">IFERROR(__xludf.DUMMYFUNCTION("IMPORTRANGE(""https://docs.google.com/spreadsheets/d/1yGy89TWty5kAjAO5OL1fLLQ_DL8fVJHFf2LvMm8qymA/edit?usp=sharing"",""รวมเหนือ!J523"")+IMPORTRANGE(""https://docs.google.com/spreadsheets/d/1bWGR5Y7oTgtZIep2hLdTHG-chM0w9aHBSSpJHwm6lak/edit?usp=sharing"","""&amp;"รวมตะวันออกเฉียงเหนือ!J523"")+IMPORTRANGE(""https://docs.google.com/spreadsheets/d/1dCxWUCc_SKNp-qd8qsaa5pPX_-BuQqWJ_-8FnsS4Ki0/edit?usp=sharing"",""รวมกลาง!J523"")+IMPORTRANGE(""https://docs.google.com/spreadsheets/d/1uOzBKYgpuhMUe0xXQLXSct3xZ80hakAMJHdG"&amp;"Jh9616E/edit?usp=sharing"",""รวมใต้!J523"")"),11173)</f>
        <v>11173</v>
      </c>
      <c r="K534" s="163">
        <v>0</v>
      </c>
      <c r="L534" s="180"/>
      <c r="M534" s="180"/>
      <c r="N534" s="180"/>
      <c r="O534" s="180"/>
      <c r="P534" s="180"/>
    </row>
    <row r="535" spans="1:16" ht="21.75" customHeight="1" x14ac:dyDescent="0.3">
      <c r="A535" s="174"/>
      <c r="B535" s="175"/>
      <c r="C535" s="175"/>
      <c r="D535" s="192"/>
      <c r="E535" s="194"/>
      <c r="F535" s="194"/>
      <c r="G535" s="195"/>
      <c r="H535" s="428" t="s">
        <v>36</v>
      </c>
      <c r="I535" s="186">
        <f ca="1">IFERROR(__xludf.DUMMYFUNCTION("IMPORTRANGE(""https://docs.google.com/spreadsheets/d/1yGy89TWty5kAjAO5OL1fLLQ_DL8fVJHFf2LvMm8qymA/edit?usp=sharing"",""รวมเหนือ!I524"")+IMPORTRANGE(""https://docs.google.com/spreadsheets/d/1bWGR5Y7oTgtZIep2hLdTHG-chM0w9aHBSSpJHwm6lak/edit?usp=sharing"","""&amp;"รวมตะวันออกเฉียงเหนือ!I524"")+IMPORTRANGE(""https://docs.google.com/spreadsheets/d/1dCxWUCc_SKNp-qd8qsaa5pPX_-BuQqWJ_-8FnsS4Ki0/edit?usp=sharing"",""รวมกลาง!I524"")+IMPORTRANGE(""https://docs.google.com/spreadsheets/d/1uOzBKYgpuhMUe0xXQLXSct3xZ80hakAMJHdG"&amp;"Jh9616E/edit?usp=sharing"",""รวมใต้!I524"")"),0)</f>
        <v>0</v>
      </c>
      <c r="J535" s="186">
        <f ca="1">IFERROR(__xludf.DUMMYFUNCTION("IMPORTRANGE(""https://docs.google.com/spreadsheets/d/1yGy89TWty5kAjAO5OL1fLLQ_DL8fVJHFf2LvMm8qymA/edit?usp=sharing"",""รวมเหนือ!J524"")+IMPORTRANGE(""https://docs.google.com/spreadsheets/d/1bWGR5Y7oTgtZIep2hLdTHG-chM0w9aHBSSpJHwm6lak/edit?usp=sharing"","""&amp;"รวมตะวันออกเฉียงเหนือ!J524"")+IMPORTRANGE(""https://docs.google.com/spreadsheets/d/1dCxWUCc_SKNp-qd8qsaa5pPX_-BuQqWJ_-8FnsS4Ki0/edit?usp=sharing"",""รวมกลาง!J524"")+IMPORTRANGE(""https://docs.google.com/spreadsheets/d/1uOzBKYgpuhMUe0xXQLXSct3xZ80hakAMJHdG"&amp;"Jh9616E/edit?usp=sharing"",""รวมใต้!J524"")"),598)</f>
        <v>598</v>
      </c>
      <c r="K535" s="163">
        <v>0</v>
      </c>
      <c r="L535" s="180"/>
      <c r="M535" s="180"/>
      <c r="N535" s="180"/>
      <c r="O535" s="180"/>
      <c r="P535" s="180"/>
    </row>
    <row r="536" spans="1:16" ht="21.75" customHeight="1" x14ac:dyDescent="0.3">
      <c r="A536" s="174"/>
      <c r="B536" s="175"/>
      <c r="C536" s="460"/>
      <c r="D536" s="460"/>
      <c r="E536" s="460" t="s">
        <v>198</v>
      </c>
      <c r="F536" s="461"/>
      <c r="G536" s="462"/>
      <c r="H536" s="463" t="s">
        <v>121</v>
      </c>
      <c r="I536" s="283">
        <f ca="1">IFERROR(__xludf.DUMMYFUNCTION("IMPORTRANGE(""https://docs.google.com/spreadsheets/d/1yGy89TWty5kAjAO5OL1fLLQ_DL8fVJHFf2LvMm8qymA/edit?usp=sharing"",""รวมเหนือ!I525"")+IMPORTRANGE(""https://docs.google.com/spreadsheets/d/1bWGR5Y7oTgtZIep2hLdTHG-chM0w9aHBSSpJHwm6lak/edit?usp=sharing"","""&amp;"รวมตะวันออกเฉียงเหนือ!I525"")+IMPORTRANGE(""https://docs.google.com/spreadsheets/d/1dCxWUCc_SKNp-qd8qsaa5pPX_-BuQqWJ_-8FnsS4Ki0/edit?usp=sharing"",""รวมกลาง!I525"")+IMPORTRANGE(""https://docs.google.com/spreadsheets/d/1uOzBKYgpuhMUe0xXQLXSct3xZ80hakAMJHdG"&amp;"Jh9616E/edit?usp=sharing"",""รวมใต้!I525"")"),11173)</f>
        <v>11173</v>
      </c>
      <c r="J536" s="283">
        <f ca="1">IFERROR(__xludf.DUMMYFUNCTION("IMPORTRANGE(""https://docs.google.com/spreadsheets/d/1yGy89TWty5kAjAO5OL1fLLQ_DL8fVJHFf2LvMm8qymA/edit?usp=sharing"",""รวมเหนือ!J525"")+IMPORTRANGE(""https://docs.google.com/spreadsheets/d/1bWGR5Y7oTgtZIep2hLdTHG-chM0w9aHBSSpJHwm6lak/edit?usp=sharing"","""&amp;"รวมตะวันออกเฉียงเหนือ!J525"")+IMPORTRANGE(""https://docs.google.com/spreadsheets/d/1dCxWUCc_SKNp-qd8qsaa5pPX_-BuQqWJ_-8FnsS4Ki0/edit?usp=sharing"",""รวมกลาง!J525"")+IMPORTRANGE(""https://docs.google.com/spreadsheets/d/1uOzBKYgpuhMUe0xXQLXSct3xZ80hakAMJHdG"&amp;"Jh9616E/edit?usp=sharing"",""รวมใต้!J525"")"),5064.41)</f>
        <v>5064.41</v>
      </c>
      <c r="K536" s="284">
        <f t="shared" ref="K536:K537" ca="1" si="133">IF(I536&gt;0,J536*100/I536,0)</f>
        <v>45.327217399087083</v>
      </c>
      <c r="L536" s="180"/>
      <c r="M536" s="180"/>
      <c r="N536" s="180"/>
      <c r="O536" s="180"/>
      <c r="P536" s="180"/>
    </row>
    <row r="537" spans="1:16" ht="21.75" customHeight="1" x14ac:dyDescent="0.3">
      <c r="A537" s="174"/>
      <c r="B537" s="175"/>
      <c r="C537" s="460"/>
      <c r="D537" s="460"/>
      <c r="E537" s="460" t="s">
        <v>199</v>
      </c>
      <c r="F537" s="461"/>
      <c r="G537" s="462"/>
      <c r="H537" s="463" t="s">
        <v>36</v>
      </c>
      <c r="I537" s="283">
        <f ca="1">IFERROR(__xludf.DUMMYFUNCTION("IMPORTRANGE(""https://docs.google.com/spreadsheets/d/1yGy89TWty5kAjAO5OL1fLLQ_DL8fVJHFf2LvMm8qymA/edit?usp=sharing"",""รวมเหนือ!I526"")+IMPORTRANGE(""https://docs.google.com/spreadsheets/d/1bWGR5Y7oTgtZIep2hLdTHG-chM0w9aHBSSpJHwm6lak/edit?usp=sharing"","""&amp;"รวมตะวันออกเฉียงเหนือ!I526"")+IMPORTRANGE(""https://docs.google.com/spreadsheets/d/1dCxWUCc_SKNp-qd8qsaa5pPX_-BuQqWJ_-8FnsS4Ki0/edit?usp=sharing"",""รวมกลาง!I526"")+IMPORTRANGE(""https://docs.google.com/spreadsheets/d/1uOzBKYgpuhMUe0xXQLXSct3xZ80hakAMJHdG"&amp;"Jh9616E/edit?usp=sharing"",""รวมใต้!I526"")"),598)</f>
        <v>598</v>
      </c>
      <c r="J537" s="283">
        <f ca="1">IFERROR(__xludf.DUMMYFUNCTION("IMPORTRANGE(""https://docs.google.com/spreadsheets/d/1yGy89TWty5kAjAO5OL1fLLQ_DL8fVJHFf2LvMm8qymA/edit?usp=sharing"",""รวมเหนือ!J526"")+IMPORTRANGE(""https://docs.google.com/spreadsheets/d/1bWGR5Y7oTgtZIep2hLdTHG-chM0w9aHBSSpJHwm6lak/edit?usp=sharing"","""&amp;"รวมตะวันออกเฉียงเหนือ!J526"")+IMPORTRANGE(""https://docs.google.com/spreadsheets/d/1dCxWUCc_SKNp-qd8qsaa5pPX_-BuQqWJ_-8FnsS4Ki0/edit?usp=sharing"",""รวมกลาง!J526"")+IMPORTRANGE(""https://docs.google.com/spreadsheets/d/1uOzBKYgpuhMUe0xXQLXSct3xZ80hakAMJHdG"&amp;"Jh9616E/edit?usp=sharing"",""รวมใต้!J526"")"),175)</f>
        <v>175</v>
      </c>
      <c r="K537" s="284">
        <f t="shared" ca="1" si="133"/>
        <v>29.264214046822744</v>
      </c>
      <c r="L537" s="180"/>
      <c r="M537" s="180"/>
      <c r="N537" s="180"/>
      <c r="O537" s="180"/>
      <c r="P537" s="180"/>
    </row>
    <row r="538" spans="1:16" ht="21.75" customHeight="1" x14ac:dyDescent="0.3">
      <c r="A538" s="174"/>
      <c r="B538" s="175"/>
      <c r="C538" s="175"/>
      <c r="D538" s="192"/>
      <c r="E538" s="194"/>
      <c r="F538" s="194"/>
      <c r="G538" s="288" t="s">
        <v>195</v>
      </c>
      <c r="H538" s="428" t="s">
        <v>121</v>
      </c>
      <c r="I538" s="186">
        <f ca="1">IFERROR(__xludf.DUMMYFUNCTION("IMPORTRANGE(""https://docs.google.com/spreadsheets/d/1yGy89TWty5kAjAO5OL1fLLQ_DL8fVJHFf2LvMm8qymA/edit?usp=sharing"",""รวมเหนือ!I527"")+IMPORTRANGE(""https://docs.google.com/spreadsheets/d/1bWGR5Y7oTgtZIep2hLdTHG-chM0w9aHBSSpJHwm6lak/edit?usp=sharing"","""&amp;"รวมตะวันออกเฉียงเหนือ!I527"")+IMPORTRANGE(""https://docs.google.com/spreadsheets/d/1dCxWUCc_SKNp-qd8qsaa5pPX_-BuQqWJ_-8FnsS4Ki0/edit?usp=sharing"",""รวมกลาง!I527"")+IMPORTRANGE(""https://docs.google.com/spreadsheets/d/1uOzBKYgpuhMUe0xXQLXSct3xZ80hakAMJHdG"&amp;"Jh9616E/edit?usp=sharing"",""รวมใต้!I527"")"),0)</f>
        <v>0</v>
      </c>
      <c r="J538" s="186">
        <f ca="1">IFERROR(__xludf.DUMMYFUNCTION("IMPORTRANGE(""https://docs.google.com/spreadsheets/d/1yGy89TWty5kAjAO5OL1fLLQ_DL8fVJHFf2LvMm8qymA/edit?usp=sharing"",""รวมเหนือ!J527"")+IMPORTRANGE(""https://docs.google.com/spreadsheets/d/1bWGR5Y7oTgtZIep2hLdTHG-chM0w9aHBSSpJHwm6lak/edit?usp=sharing"","""&amp;"รวมตะวันออกเฉียงเหนือ!J527"")+IMPORTRANGE(""https://docs.google.com/spreadsheets/d/1dCxWUCc_SKNp-qd8qsaa5pPX_-BuQqWJ_-8FnsS4Ki0/edit?usp=sharing"",""รวมกลาง!J527"")+IMPORTRANGE(""https://docs.google.com/spreadsheets/d/1uOzBKYgpuhMUe0xXQLXSct3xZ80hakAMJHdG"&amp;"Jh9616E/edit?usp=sharing"",""รวมใต้!J527"")"),4504.51)</f>
        <v>4504.51</v>
      </c>
      <c r="K538" s="163">
        <v>0</v>
      </c>
      <c r="L538" s="180"/>
      <c r="M538" s="180"/>
      <c r="N538" s="180"/>
      <c r="O538" s="180"/>
      <c r="P538" s="180"/>
    </row>
    <row r="539" spans="1:16" ht="21.75" customHeight="1" x14ac:dyDescent="0.3">
      <c r="A539" s="174"/>
      <c r="B539" s="175"/>
      <c r="C539" s="175"/>
      <c r="D539" s="192"/>
      <c r="E539" s="194"/>
      <c r="F539" s="194"/>
      <c r="G539" s="195"/>
      <c r="H539" s="428" t="s">
        <v>36</v>
      </c>
      <c r="I539" s="186">
        <f ca="1">IFERROR(__xludf.DUMMYFUNCTION("IMPORTRANGE(""https://docs.google.com/spreadsheets/d/1yGy89TWty5kAjAO5OL1fLLQ_DL8fVJHFf2LvMm8qymA/edit?usp=sharing"",""รวมเหนือ!I528"")+IMPORTRANGE(""https://docs.google.com/spreadsheets/d/1bWGR5Y7oTgtZIep2hLdTHG-chM0w9aHBSSpJHwm6lak/edit?usp=sharing"","""&amp;"รวมตะวันออกเฉียงเหนือ!I528"")+IMPORTRANGE(""https://docs.google.com/spreadsheets/d/1dCxWUCc_SKNp-qd8qsaa5pPX_-BuQqWJ_-8FnsS4Ki0/edit?usp=sharing"",""รวมกลาง!I528"")+IMPORTRANGE(""https://docs.google.com/spreadsheets/d/1uOzBKYgpuhMUe0xXQLXSct3xZ80hakAMJHdG"&amp;"Jh9616E/edit?usp=sharing"",""รวมใต้!I528"")"),0)</f>
        <v>0</v>
      </c>
      <c r="J539" s="186">
        <f ca="1">IFERROR(__xludf.DUMMYFUNCTION("IMPORTRANGE(""https://docs.google.com/spreadsheets/d/1yGy89TWty5kAjAO5OL1fLLQ_DL8fVJHFf2LvMm8qymA/edit?usp=sharing"",""รวมเหนือ!J528"")+IMPORTRANGE(""https://docs.google.com/spreadsheets/d/1bWGR5Y7oTgtZIep2hLdTHG-chM0w9aHBSSpJHwm6lak/edit?usp=sharing"","""&amp;"รวมตะวันออกเฉียงเหนือ!J528"")+IMPORTRANGE(""https://docs.google.com/spreadsheets/d/1dCxWUCc_SKNp-qd8qsaa5pPX_-BuQqWJ_-8FnsS4Ki0/edit?usp=sharing"",""รวมกลาง!J528"")+IMPORTRANGE(""https://docs.google.com/spreadsheets/d/1uOzBKYgpuhMUe0xXQLXSct3xZ80hakAMJHdG"&amp;"Jh9616E/edit?usp=sharing"",""รวมใต้!J528"")"),124)</f>
        <v>124</v>
      </c>
      <c r="K539" s="163">
        <v>0</v>
      </c>
      <c r="L539" s="180"/>
      <c r="M539" s="180"/>
      <c r="N539" s="180"/>
      <c r="O539" s="180"/>
      <c r="P539" s="180"/>
    </row>
    <row r="540" spans="1:16" ht="21.75" customHeight="1" x14ac:dyDescent="0.3">
      <c r="A540" s="174"/>
      <c r="B540" s="175"/>
      <c r="C540" s="175"/>
      <c r="D540" s="192"/>
      <c r="E540" s="194"/>
      <c r="F540" s="194"/>
      <c r="G540" s="288" t="s">
        <v>196</v>
      </c>
      <c r="H540" s="428" t="s">
        <v>121</v>
      </c>
      <c r="I540" s="186">
        <f ca="1">IFERROR(__xludf.DUMMYFUNCTION("IMPORTRANGE(""https://docs.google.com/spreadsheets/d/1yGy89TWty5kAjAO5OL1fLLQ_DL8fVJHFf2LvMm8qymA/edit?usp=sharing"",""รวมเหนือ!I529"")+IMPORTRANGE(""https://docs.google.com/spreadsheets/d/1bWGR5Y7oTgtZIep2hLdTHG-chM0w9aHBSSpJHwm6lak/edit?usp=sharing"","""&amp;"รวมตะวันออกเฉียงเหนือ!I529"")+IMPORTRANGE(""https://docs.google.com/spreadsheets/d/1dCxWUCc_SKNp-qd8qsaa5pPX_-BuQqWJ_-8FnsS4Ki0/edit?usp=sharing"",""รวมกลาง!I529"")+IMPORTRANGE(""https://docs.google.com/spreadsheets/d/1uOzBKYgpuhMUe0xXQLXSct3xZ80hakAMJHdG"&amp;"Jh9616E/edit?usp=sharing"",""รวมใต้!I529"")"),0)</f>
        <v>0</v>
      </c>
      <c r="J540" s="186">
        <f ca="1">IFERROR(__xludf.DUMMYFUNCTION("IMPORTRANGE(""https://docs.google.com/spreadsheets/d/1yGy89TWty5kAjAO5OL1fLLQ_DL8fVJHFf2LvMm8qymA/edit?usp=sharing"",""รวมเหนือ!J529"")+IMPORTRANGE(""https://docs.google.com/spreadsheets/d/1bWGR5Y7oTgtZIep2hLdTHG-chM0w9aHBSSpJHwm6lak/edit?usp=sharing"","""&amp;"รวมตะวันออกเฉียงเหนือ!J529"")+IMPORTRANGE(""https://docs.google.com/spreadsheets/d/1dCxWUCc_SKNp-qd8qsaa5pPX_-BuQqWJ_-8FnsS4Ki0/edit?usp=sharing"",""รวมกลาง!J529"")+IMPORTRANGE(""https://docs.google.com/spreadsheets/d/1uOzBKYgpuhMUe0xXQLXSct3xZ80hakAMJHdG"&amp;"Jh9616E/edit?usp=sharing"",""รวมใต้!J529"")"),182.9)</f>
        <v>182.9</v>
      </c>
      <c r="K540" s="163">
        <v>0</v>
      </c>
      <c r="L540" s="180"/>
      <c r="M540" s="180"/>
      <c r="N540" s="180"/>
      <c r="O540" s="180"/>
      <c r="P540" s="180"/>
    </row>
    <row r="541" spans="1:16" ht="21.75" customHeight="1" x14ac:dyDescent="0.3">
      <c r="A541" s="174"/>
      <c r="B541" s="175"/>
      <c r="C541" s="175"/>
      <c r="D541" s="192"/>
      <c r="E541" s="194"/>
      <c r="F541" s="194"/>
      <c r="G541" s="195"/>
      <c r="H541" s="428" t="s">
        <v>36</v>
      </c>
      <c r="I541" s="186">
        <f ca="1">IFERROR(__xludf.DUMMYFUNCTION("IMPORTRANGE(""https://docs.google.com/spreadsheets/d/1yGy89TWty5kAjAO5OL1fLLQ_DL8fVJHFf2LvMm8qymA/edit?usp=sharing"",""รวมเหนือ!I530"")+IMPORTRANGE(""https://docs.google.com/spreadsheets/d/1bWGR5Y7oTgtZIep2hLdTHG-chM0w9aHBSSpJHwm6lak/edit?usp=sharing"","""&amp;"รวมตะวันออกเฉียงเหนือ!I530"")+IMPORTRANGE(""https://docs.google.com/spreadsheets/d/1dCxWUCc_SKNp-qd8qsaa5pPX_-BuQqWJ_-8FnsS4Ki0/edit?usp=sharing"",""รวมกลาง!I530"")+IMPORTRANGE(""https://docs.google.com/spreadsheets/d/1uOzBKYgpuhMUe0xXQLXSct3xZ80hakAMJHdG"&amp;"Jh9616E/edit?usp=sharing"",""รวมใต้!I530"")"),0)</f>
        <v>0</v>
      </c>
      <c r="J541" s="186">
        <f ca="1">IFERROR(__xludf.DUMMYFUNCTION("IMPORTRANGE(""https://docs.google.com/spreadsheets/d/1yGy89TWty5kAjAO5OL1fLLQ_DL8fVJHFf2LvMm8qymA/edit?usp=sharing"",""รวมเหนือ!J530"")+IMPORTRANGE(""https://docs.google.com/spreadsheets/d/1bWGR5Y7oTgtZIep2hLdTHG-chM0w9aHBSSpJHwm6lak/edit?usp=sharing"","""&amp;"รวมตะวันออกเฉียงเหนือ!J530"")+IMPORTRANGE(""https://docs.google.com/spreadsheets/d/1dCxWUCc_SKNp-qd8qsaa5pPX_-BuQqWJ_-8FnsS4Ki0/edit?usp=sharing"",""รวมกลาง!J530"")+IMPORTRANGE(""https://docs.google.com/spreadsheets/d/1uOzBKYgpuhMUe0xXQLXSct3xZ80hakAMJHdG"&amp;"Jh9616E/edit?usp=sharing"",""รวมใต้!J530"")"),32)</f>
        <v>32</v>
      </c>
      <c r="K541" s="163">
        <v>0</v>
      </c>
      <c r="L541" s="180"/>
      <c r="M541" s="180"/>
      <c r="N541" s="180"/>
      <c r="O541" s="180"/>
      <c r="P541" s="180"/>
    </row>
    <row r="542" spans="1:16" ht="21.75" customHeight="1" x14ac:dyDescent="0.3">
      <c r="A542" s="174"/>
      <c r="B542" s="175"/>
      <c r="C542" s="175"/>
      <c r="D542" s="192"/>
      <c r="E542" s="194"/>
      <c r="F542" s="194"/>
      <c r="G542" s="288" t="s">
        <v>200</v>
      </c>
      <c r="H542" s="428" t="s">
        <v>121</v>
      </c>
      <c r="I542" s="186">
        <f ca="1">IFERROR(__xludf.DUMMYFUNCTION("IMPORTRANGE(""https://docs.google.com/spreadsheets/d/1yGy89TWty5kAjAO5OL1fLLQ_DL8fVJHFf2LvMm8qymA/edit?usp=sharing"",""รวมเหนือ!I531"")+IMPORTRANGE(""https://docs.google.com/spreadsheets/d/1bWGR5Y7oTgtZIep2hLdTHG-chM0w9aHBSSpJHwm6lak/edit?usp=sharing"","""&amp;"รวมตะวันออกเฉียงเหนือ!I531"")+IMPORTRANGE(""https://docs.google.com/spreadsheets/d/1dCxWUCc_SKNp-qd8qsaa5pPX_-BuQqWJ_-8FnsS4Ki0/edit?usp=sharing"",""รวมกลาง!I531"")+IMPORTRANGE(""https://docs.google.com/spreadsheets/d/1uOzBKYgpuhMUe0xXQLXSct3xZ80hakAMJHdG"&amp;"Jh9616E/edit?usp=sharing"",""รวมใต้!I531"")"),0)</f>
        <v>0</v>
      </c>
      <c r="J542" s="186">
        <f ca="1">IFERROR(__xludf.DUMMYFUNCTION("IMPORTRANGE(""https://docs.google.com/spreadsheets/d/1yGy89TWty5kAjAO5OL1fLLQ_DL8fVJHFf2LvMm8qymA/edit?usp=sharing"",""รวมเหนือ!J531"")+IMPORTRANGE(""https://docs.google.com/spreadsheets/d/1bWGR5Y7oTgtZIep2hLdTHG-chM0w9aHBSSpJHwm6lak/edit?usp=sharing"","""&amp;"รวมตะวันออกเฉียงเหนือ!J531"")+IMPORTRANGE(""https://docs.google.com/spreadsheets/d/1dCxWUCc_SKNp-qd8qsaa5pPX_-BuQqWJ_-8FnsS4Ki0/edit?usp=sharing"",""รวมกลาง!J531"")+IMPORTRANGE(""https://docs.google.com/spreadsheets/d/1uOzBKYgpuhMUe0xXQLXSct3xZ80hakAMJHdG"&amp;"Jh9616E/edit?usp=sharing"",""รวมใต้!J531"")"),377)</f>
        <v>377</v>
      </c>
      <c r="K542" s="163">
        <v>0</v>
      </c>
      <c r="L542" s="180"/>
      <c r="M542" s="180"/>
      <c r="N542" s="180"/>
      <c r="O542" s="180"/>
      <c r="P542" s="180"/>
    </row>
    <row r="543" spans="1:16" ht="21.75" customHeight="1" x14ac:dyDescent="0.3">
      <c r="A543" s="465"/>
      <c r="B543" s="466"/>
      <c r="C543" s="466"/>
      <c r="D543" s="467"/>
      <c r="E543" s="468"/>
      <c r="F543" s="468"/>
      <c r="G543" s="469"/>
      <c r="H543" s="470" t="s">
        <v>36</v>
      </c>
      <c r="I543" s="471">
        <f ca="1">IFERROR(__xludf.DUMMYFUNCTION("IMPORTRANGE(""https://docs.google.com/spreadsheets/d/1yGy89TWty5kAjAO5OL1fLLQ_DL8fVJHFf2LvMm8qymA/edit?usp=sharing"",""รวมเหนือ!I532"")+IMPORTRANGE(""https://docs.google.com/spreadsheets/d/1bWGR5Y7oTgtZIep2hLdTHG-chM0w9aHBSSpJHwm6lak/edit?usp=sharing"","""&amp;"รวมตะวันออกเฉียงเหนือ!I532"")+IMPORTRANGE(""https://docs.google.com/spreadsheets/d/1dCxWUCc_SKNp-qd8qsaa5pPX_-BuQqWJ_-8FnsS4Ki0/edit?usp=sharing"",""รวมกลาง!I532"")+IMPORTRANGE(""https://docs.google.com/spreadsheets/d/1uOzBKYgpuhMUe0xXQLXSct3xZ80hakAMJHdG"&amp;"Jh9616E/edit?usp=sharing"",""รวมใต้!I532"")"),0)</f>
        <v>0</v>
      </c>
      <c r="J543" s="471">
        <f ca="1">IFERROR(__xludf.DUMMYFUNCTION("IMPORTRANGE(""https://docs.google.com/spreadsheets/d/1yGy89TWty5kAjAO5OL1fLLQ_DL8fVJHFf2LvMm8qymA/edit?usp=sharing"",""รวมเหนือ!J532"")+IMPORTRANGE(""https://docs.google.com/spreadsheets/d/1bWGR5Y7oTgtZIep2hLdTHG-chM0w9aHBSSpJHwm6lak/edit?usp=sharing"","""&amp;"รวมตะวันออกเฉียงเหนือ!J532"")+IMPORTRANGE(""https://docs.google.com/spreadsheets/d/1dCxWUCc_SKNp-qd8qsaa5pPX_-BuQqWJ_-8FnsS4Ki0/edit?usp=sharing"",""รวมกลาง!J532"")+IMPORTRANGE(""https://docs.google.com/spreadsheets/d/1uOzBKYgpuhMUe0xXQLXSct3xZ80hakAMJHdG"&amp;"Jh9616E/edit?usp=sharing"",""รวมใต้!J532"")"),19)</f>
        <v>19</v>
      </c>
      <c r="K543" s="472">
        <v>0</v>
      </c>
      <c r="L543" s="473"/>
      <c r="M543" s="473"/>
      <c r="N543" s="473"/>
      <c r="O543" s="473"/>
      <c r="P543" s="473"/>
    </row>
    <row r="544" spans="1:16" ht="21.75" customHeight="1" x14ac:dyDescent="0.3">
      <c r="A544" s="408"/>
      <c r="B544" s="409">
        <v>6</v>
      </c>
      <c r="C544" s="410" t="s">
        <v>201</v>
      </c>
      <c r="D544" s="410"/>
      <c r="E544" s="410"/>
      <c r="F544" s="410"/>
      <c r="G544" s="411"/>
      <c r="H544" s="412" t="s">
        <v>37</v>
      </c>
      <c r="I544" s="413">
        <f ca="1">IFERROR(__xludf.DUMMYFUNCTION("IMPORTRANGE(""https://docs.google.com/spreadsheets/d/1yGy89TWty5kAjAO5OL1fLLQ_DL8fVJHFf2LvMm8qymA/edit?usp=sharing"",""รวมเหนือ!I533"")+IMPORTRANGE(""https://docs.google.com/spreadsheets/d/1bWGR5Y7oTgtZIep2hLdTHG-chM0w9aHBSSpJHwm6lak/edit?usp=sharing"","""&amp;"รวมตะวันออกเฉียงเหนือ!I533"")+IMPORTRANGE(""https://docs.google.com/spreadsheets/d/1dCxWUCc_SKNp-qd8qsaa5pPX_-BuQqWJ_-8FnsS4Ki0/edit?usp=sharing"",""รวมกลาง!I533"")+IMPORTRANGE(""https://docs.google.com/spreadsheets/d/1uOzBKYgpuhMUe0xXQLXSct3xZ80hakAMJHdG"&amp;"Jh9616E/edit?usp=sharing"",""รวมใต้!I533"")"),1584)</f>
        <v>1584</v>
      </c>
      <c r="J544" s="413">
        <f ca="1">IFERROR(__xludf.DUMMYFUNCTION("IMPORTRANGE(""https://docs.google.com/spreadsheets/d/1yGy89TWty5kAjAO5OL1fLLQ_DL8fVJHFf2LvMm8qymA/edit?usp=sharing"",""รวมเหนือ!J533"")+IMPORTRANGE(""https://docs.google.com/spreadsheets/d/1bWGR5Y7oTgtZIep2hLdTHG-chM0w9aHBSSpJHwm6lak/edit?usp=sharing"","""&amp;"รวมตะวันออกเฉียงเหนือ!J533"")+IMPORTRANGE(""https://docs.google.com/spreadsheets/d/1dCxWUCc_SKNp-qd8qsaa5pPX_-BuQqWJ_-8FnsS4Ki0/edit?usp=sharing"",""รวมกลาง!J533"")+IMPORTRANGE(""https://docs.google.com/spreadsheets/d/1uOzBKYgpuhMUe0xXQLXSct3xZ80hakAMJHdG"&amp;"Jh9616E/edit?usp=sharing"",""รวมใต้!J533"")"),1586)</f>
        <v>1586</v>
      </c>
      <c r="K544" s="414">
        <f ca="1">IF(I544&gt;0,J544*100/I544,0)</f>
        <v>100.12626262626263</v>
      </c>
      <c r="L544" s="415">
        <f ca="1">L545+L546</f>
        <v>4016300</v>
      </c>
      <c r="M544" s="415"/>
      <c r="N544" s="415">
        <f ca="1">N545+N546</f>
        <v>1932939.97</v>
      </c>
      <c r="O544" s="415">
        <f t="shared" ref="O544:O548" ca="1" si="134">+IF(L544&gt;0,N544*100/L544,0)</f>
        <v>48.127380175783685</v>
      </c>
      <c r="P544" s="415"/>
    </row>
    <row r="545" spans="1:16" ht="21.75" customHeight="1" x14ac:dyDescent="0.3">
      <c r="A545" s="158"/>
      <c r="B545" s="159"/>
      <c r="C545" s="159" t="s">
        <v>16</v>
      </c>
      <c r="D545" s="274" t="s">
        <v>75</v>
      </c>
      <c r="E545" s="167"/>
      <c r="F545" s="167"/>
      <c r="G545" s="374" t="s">
        <v>38</v>
      </c>
      <c r="H545" s="168" t="s">
        <v>12</v>
      </c>
      <c r="I545" s="162" t="s">
        <v>39</v>
      </c>
      <c r="J545" s="162"/>
      <c r="K545" s="163"/>
      <c r="L545" s="275">
        <f ca="1">IFERROR(__xludf.DUMMYFUNCTION("IMPORTRANGE(""https://docs.google.com/spreadsheets/d/1muirlRDkqiswvy_NRZ3Yh955hx-PF6_HhssUYiSJj8o/edit?usp=sharing"",""กองทุนส่วนกลาง!AA10"")"),1543780)</f>
        <v>1543780</v>
      </c>
      <c r="M545" s="275"/>
      <c r="N545" s="276">
        <f ca="1">IFERROR(__xludf.DUMMYFUNCTION("IMPORTRANGE(""https://docs.google.com/spreadsheets/d/1-fhVXPMm30suWK0-eslVgeT9cTVfCsDeUsq7Bk5UZE8/edit?usp=sharing"",""ทั้งประเทศ!M429"")"),125014.36)</f>
        <v>125014.36</v>
      </c>
      <c r="O545" s="276">
        <f t="shared" ca="1" si="134"/>
        <v>8.0979388254803144</v>
      </c>
      <c r="P545" s="165"/>
    </row>
    <row r="546" spans="1:16" ht="21.75" customHeight="1" x14ac:dyDescent="0.3">
      <c r="A546" s="158"/>
      <c r="B546" s="159"/>
      <c r="C546" s="159"/>
      <c r="D546" s="166"/>
      <c r="E546" s="167"/>
      <c r="F546" s="167" t="s">
        <v>39</v>
      </c>
      <c r="G546" s="374" t="s">
        <v>40</v>
      </c>
      <c r="H546" s="168" t="s">
        <v>12</v>
      </c>
      <c r="I546" s="162"/>
      <c r="J546" s="162"/>
      <c r="K546" s="163"/>
      <c r="L546" s="276">
        <f ca="1">L547+L548</f>
        <v>2472520</v>
      </c>
      <c r="M546" s="276"/>
      <c r="N546" s="276">
        <f ca="1">N547+N548</f>
        <v>1807925.6099999999</v>
      </c>
      <c r="O546" s="276">
        <f t="shared" ca="1" si="134"/>
        <v>73.120767880542928</v>
      </c>
      <c r="P546" s="165"/>
    </row>
    <row r="547" spans="1:16" ht="21.75" customHeight="1" x14ac:dyDescent="0.4">
      <c r="A547" s="158"/>
      <c r="B547" s="159"/>
      <c r="C547" s="159"/>
      <c r="D547" s="166"/>
      <c r="E547" s="167"/>
      <c r="F547" s="167"/>
      <c r="G547" s="34" t="s">
        <v>21</v>
      </c>
      <c r="H547" s="168" t="s">
        <v>12</v>
      </c>
      <c r="I547" s="162"/>
      <c r="J547" s="162"/>
      <c r="K547" s="163"/>
      <c r="L547" s="165">
        <f ca="1">IFERROR(__xludf.DUMMYFUNCTION("IMPORTRANGE(""https://docs.google.com/spreadsheets/d/1yGy89TWty5kAjAO5OL1fLLQ_DL8fVJHFf2LvMm8qymA/edit?usp=sharing"",""รวมเหนือ!L536"")+IMPORTRANGE(""https://docs.google.com/spreadsheets/d/1bWGR5Y7oTgtZIep2hLdTHG-chM0w9aHBSSpJHwm6lak/edit?usp=sharing"","""&amp;"รวมตะวันออกเฉียงเหนือ!L536"")+IMPORTRANGE(""https://docs.google.com/spreadsheets/d/1dCxWUCc_SKNp-qd8qsaa5pPX_-BuQqWJ_-8FnsS4Ki0/edit?usp=sharing"",""รวมกลาง!L536"")+IMPORTRANGE(""https://docs.google.com/spreadsheets/d/1uOzBKYgpuhMUe0xXQLXSct3xZ80hakAMJHdG"&amp;"Jh9616E/edit?usp=sharing"",""รวมใต้!L536"")"),0)</f>
        <v>0</v>
      </c>
      <c r="M547" s="165"/>
      <c r="N547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47" s="165">
        <f t="shared" ca="1" si="134"/>
        <v>0</v>
      </c>
      <c r="P547" s="165"/>
    </row>
    <row r="548" spans="1:16" ht="21.75" customHeight="1" x14ac:dyDescent="0.4">
      <c r="A548" s="158"/>
      <c r="B548" s="159"/>
      <c r="C548" s="159"/>
      <c r="D548" s="166"/>
      <c r="E548" s="167"/>
      <c r="F548" s="167"/>
      <c r="G548" s="34" t="s">
        <v>22</v>
      </c>
      <c r="H548" s="168" t="s">
        <v>12</v>
      </c>
      <c r="I548" s="162"/>
      <c r="J548" s="162"/>
      <c r="K548" s="163"/>
      <c r="L548" s="165">
        <f ca="1">IFERROR(__xludf.DUMMYFUNCTION("IMPORTRANGE(""https://docs.google.com/spreadsheets/d/1yGy89TWty5kAjAO5OL1fLLQ_DL8fVJHFf2LvMm8qymA/edit?usp=sharing"",""รวมเหนือ!L537"")+IMPORTRANGE(""https://docs.google.com/spreadsheets/d/1bWGR5Y7oTgtZIep2hLdTHG-chM0w9aHBSSpJHwm6lak/edit?usp=sharing"","""&amp;"รวมตะวันออกเฉียงเหนือ!L537"")+IMPORTRANGE(""https://docs.google.com/spreadsheets/d/1dCxWUCc_SKNp-qd8qsaa5pPX_-BuQqWJ_-8FnsS4Ki0/edit?usp=sharing"",""รวมกลาง!L537"")+IMPORTRANGE(""https://docs.google.com/spreadsheets/d/1uOzBKYgpuhMUe0xXQLXSct3xZ80hakAMJHdG"&amp;"Jh9616E/edit?usp=sharing"",""รวมใต้!L537"")"),2472520)</f>
        <v>2472520</v>
      </c>
      <c r="M548" s="165"/>
      <c r="N548" s="165">
        <f ca="1">N549+N550+N551+N552</f>
        <v>1807925.6099999999</v>
      </c>
      <c r="O548" s="165">
        <f t="shared" ca="1" si="134"/>
        <v>73.120767880542928</v>
      </c>
      <c r="P548" s="165"/>
    </row>
    <row r="549" spans="1:16" ht="21.75" customHeight="1" x14ac:dyDescent="0.3">
      <c r="A549" s="375"/>
      <c r="B549" s="376"/>
      <c r="C549" s="159"/>
      <c r="D549" s="377"/>
      <c r="E549" s="167"/>
      <c r="F549" s="167"/>
      <c r="G549" s="378" t="s">
        <v>129</v>
      </c>
      <c r="H549" s="168" t="s">
        <v>12</v>
      </c>
      <c r="I549" s="186"/>
      <c r="J549" s="186"/>
      <c r="K549" s="221"/>
      <c r="L549" s="165"/>
      <c r="M549" s="165"/>
      <c r="N549" s="164">
        <f ca="1">IFERROR(__xludf.DUMMYFUNCTION("IMPORTRANGE(""https://docs.google.com/spreadsheets/d/1yGy89TWty5kAjAO5OL1fLLQ_DL8fVJHFf2LvMm8qymA/edit?usp=sharing"",""รวมเหนือ!N538"")+IMPORTRANGE(""https://docs.google.com/spreadsheets/d/1bWGR5Y7oTgtZIep2hLdTHG-chM0w9aHBSSpJHwm6lak/edit?usp=sharing"","""&amp;"รวมตะวันออกเฉียงเหนือ!N538"")+IMPORTRANGE(""https://docs.google.com/spreadsheets/d/1dCxWUCc_SKNp-qd8qsaa5pPX_-BuQqWJ_-8FnsS4Ki0/edit?usp=sharing"",""รวมกลาง!N538"")+IMPORTRANGE(""https://docs.google.com/spreadsheets/d/1uOzBKYgpuhMUe0xXQLXSct3xZ80hakAMJHdG"&amp;"Jh9616E/edit?usp=sharing"",""รวมใต้!N538"")"),1255082.5)</f>
        <v>1255082.5</v>
      </c>
      <c r="O549" s="165"/>
      <c r="P549" s="165"/>
    </row>
    <row r="550" spans="1:16" ht="21.75" customHeight="1" x14ac:dyDescent="0.3">
      <c r="A550" s="375"/>
      <c r="B550" s="376"/>
      <c r="C550" s="159"/>
      <c r="D550" s="377"/>
      <c r="E550" s="167"/>
      <c r="F550" s="167"/>
      <c r="G550" s="378" t="s">
        <v>130</v>
      </c>
      <c r="H550" s="168" t="s">
        <v>12</v>
      </c>
      <c r="I550" s="186"/>
      <c r="J550" s="186"/>
      <c r="K550" s="221"/>
      <c r="L550" s="165"/>
      <c r="M550" s="165"/>
      <c r="N550" s="164">
        <f ca="1">IFERROR(__xludf.DUMMYFUNCTION("IMPORTRANGE(""https://docs.google.com/spreadsheets/d/1yGy89TWty5kAjAO5OL1fLLQ_DL8fVJHFf2LvMm8qymA/edit?usp=sharing"",""รวมเหนือ!N539"")+IMPORTRANGE(""https://docs.google.com/spreadsheets/d/1bWGR5Y7oTgtZIep2hLdTHG-chM0w9aHBSSpJHwm6lak/edit?usp=sharing"","""&amp;"รวมตะวันออกเฉียงเหนือ!N539"")+IMPORTRANGE(""https://docs.google.com/spreadsheets/d/1dCxWUCc_SKNp-qd8qsaa5pPX_-BuQqWJ_-8FnsS4Ki0/edit?usp=sharing"",""รวมกลาง!N539"")+IMPORTRANGE(""https://docs.google.com/spreadsheets/d/1uOzBKYgpuhMUe0xXQLXSct3xZ80hakAMJHdG"&amp;"Jh9616E/edit?usp=sharing"",""รวมใต้!N539"")"),32902)</f>
        <v>32902</v>
      </c>
      <c r="O550" s="165"/>
      <c r="P550" s="165"/>
    </row>
    <row r="551" spans="1:16" ht="21.75" customHeight="1" x14ac:dyDescent="0.3">
      <c r="A551" s="375"/>
      <c r="B551" s="376"/>
      <c r="C551" s="159"/>
      <c r="D551" s="377"/>
      <c r="E551" s="167"/>
      <c r="F551" s="167"/>
      <c r="G551" s="378" t="s">
        <v>131</v>
      </c>
      <c r="H551" s="168" t="s">
        <v>12</v>
      </c>
      <c r="I551" s="186"/>
      <c r="J551" s="186"/>
      <c r="K551" s="221"/>
      <c r="L551" s="165"/>
      <c r="M551" s="165"/>
      <c r="N551" s="164">
        <f ca="1">IFERROR(__xludf.DUMMYFUNCTION("IMPORTRANGE(""https://docs.google.com/spreadsheets/d/1yGy89TWty5kAjAO5OL1fLLQ_DL8fVJHFf2LvMm8qymA/edit?usp=sharing"",""รวมเหนือ!N540"")+IMPORTRANGE(""https://docs.google.com/spreadsheets/d/1bWGR5Y7oTgtZIep2hLdTHG-chM0w9aHBSSpJHwm6lak/edit?usp=sharing"","""&amp;"รวมตะวันออกเฉียงเหนือ!N540"")+IMPORTRANGE(""https://docs.google.com/spreadsheets/d/1dCxWUCc_SKNp-qd8qsaa5pPX_-BuQqWJ_-8FnsS4Ki0/edit?usp=sharing"",""รวมกลาง!N540"")+IMPORTRANGE(""https://docs.google.com/spreadsheets/d/1uOzBKYgpuhMUe0xXQLXSct3xZ80hakAMJHdG"&amp;"Jh9616E/edit?usp=sharing"",""รวมใต้!N540"")"),0)</f>
        <v>0</v>
      </c>
      <c r="O551" s="165"/>
      <c r="P551" s="165"/>
    </row>
    <row r="552" spans="1:16" ht="21.75" customHeight="1" x14ac:dyDescent="0.3">
      <c r="A552" s="375"/>
      <c r="B552" s="376"/>
      <c r="C552" s="159"/>
      <c r="D552" s="377"/>
      <c r="E552" s="167"/>
      <c r="F552" s="167"/>
      <c r="G552" s="378" t="s">
        <v>132</v>
      </c>
      <c r="H552" s="168" t="s">
        <v>12</v>
      </c>
      <c r="I552" s="186"/>
      <c r="J552" s="186"/>
      <c r="K552" s="221"/>
      <c r="L552" s="165"/>
      <c r="M552" s="165"/>
      <c r="N552" s="164">
        <f ca="1">IFERROR(__xludf.DUMMYFUNCTION("IMPORTRANGE(""https://docs.google.com/spreadsheets/d/1yGy89TWty5kAjAO5OL1fLLQ_DL8fVJHFf2LvMm8qymA/edit?usp=sharing"",""รวมเหนือ!N541"")+IMPORTRANGE(""https://docs.google.com/spreadsheets/d/1bWGR5Y7oTgtZIep2hLdTHG-chM0w9aHBSSpJHwm6lak/edit?usp=sharing"","""&amp;"รวมตะวันออกเฉียงเหนือ!N541"")+IMPORTRANGE(""https://docs.google.com/spreadsheets/d/1dCxWUCc_SKNp-qd8qsaa5pPX_-BuQqWJ_-8FnsS4Ki0/edit?usp=sharing"",""รวมกลาง!N541"")+IMPORTRANGE(""https://docs.google.com/spreadsheets/d/1uOzBKYgpuhMUe0xXQLXSct3xZ80hakAMJHdG"&amp;"Jh9616E/edit?usp=sharing"",""รวมใต้!N541"")"),519941.11)</f>
        <v>519941.11</v>
      </c>
      <c r="O552" s="165"/>
      <c r="P552" s="165"/>
    </row>
    <row r="553" spans="1:16" ht="21.75" customHeight="1" x14ac:dyDescent="0.3">
      <c r="A553" s="174"/>
      <c r="B553" s="175"/>
      <c r="C553" s="159" t="s">
        <v>16</v>
      </c>
      <c r="D553" s="176" t="s">
        <v>41</v>
      </c>
      <c r="E553" s="177"/>
      <c r="F553" s="177"/>
      <c r="G553" s="178"/>
      <c r="H553" s="179"/>
      <c r="I553" s="162"/>
      <c r="J553" s="162"/>
      <c r="K553" s="163"/>
      <c r="L553" s="180"/>
      <c r="M553" s="180"/>
      <c r="N553" s="180"/>
      <c r="O553" s="180"/>
      <c r="P553" s="180"/>
    </row>
    <row r="554" spans="1:16" ht="21.75" customHeight="1" x14ac:dyDescent="0.3">
      <c r="A554" s="174"/>
      <c r="B554" s="175"/>
      <c r="C554" s="175"/>
      <c r="D554" s="181">
        <v>1</v>
      </c>
      <c r="E554" s="182" t="s">
        <v>42</v>
      </c>
      <c r="F554" s="183"/>
      <c r="G554" s="184"/>
      <c r="H554" s="185"/>
      <c r="I554" s="186"/>
      <c r="J554" s="186">
        <f ca="1">IFERROR(__xludf.DUMMYFUNCTION("IMPORTRANGE(""https://docs.google.com/spreadsheets/d/1yGy89TWty5kAjAO5OL1fLLQ_DL8fVJHFf2LvMm8qymA/edit?usp=sharing"",""รวมเหนือ!J543"")+IMPORTRANGE(""https://docs.google.com/spreadsheets/d/1bWGR5Y7oTgtZIep2hLdTHG-chM0w9aHBSSpJHwm6lak/edit?usp=sharing"","""&amp;"รวมตะวันออกเฉียงเหนือ!J543"")+IMPORTRANGE(""https://docs.google.com/spreadsheets/d/1dCxWUCc_SKNp-qd8qsaa5pPX_-BuQqWJ_-8FnsS4Ki0/edit?usp=sharing"",""รวมกลาง!J543"")+IMPORTRANGE(""https://docs.google.com/spreadsheets/d/1uOzBKYgpuhMUe0xXQLXSct3xZ80hakAMJHdG"&amp;"Jh9616E/edit?usp=sharing"",""รวมใต้!J543"")"),0)</f>
        <v>0</v>
      </c>
      <c r="K554" s="163"/>
      <c r="L554" s="180"/>
      <c r="M554" s="180"/>
      <c r="N554" s="180"/>
      <c r="O554" s="180"/>
      <c r="P554" s="180"/>
    </row>
    <row r="555" spans="1:16" ht="21.75" customHeight="1" x14ac:dyDescent="0.3">
      <c r="A555" s="174"/>
      <c r="B555" s="175"/>
      <c r="C555" s="175"/>
      <c r="D555" s="188">
        <v>2</v>
      </c>
      <c r="E555" s="189" t="s">
        <v>43</v>
      </c>
      <c r="F555" s="190"/>
      <c r="G555" s="191"/>
      <c r="H555" s="185"/>
      <c r="I555" s="186"/>
      <c r="J555" s="187">
        <f ca="1">IFERROR(__xludf.DUMMYFUNCTION("IMPORTRANGE(""https://docs.google.com/spreadsheets/d/1yGy89TWty5kAjAO5OL1fLLQ_DL8fVJHFf2LvMm8qymA/edit?usp=sharing"",""รวมเหนือ!J544"")+IMPORTRANGE(""https://docs.google.com/spreadsheets/d/1bWGR5Y7oTgtZIep2hLdTHG-chM0w9aHBSSpJHwm6lak/edit?usp=sharing"","""&amp;"รวมตะวันออกเฉียงเหนือ!J544"")+IMPORTRANGE(""https://docs.google.com/spreadsheets/d/1dCxWUCc_SKNp-qd8qsaa5pPX_-BuQqWJ_-8FnsS4Ki0/edit?usp=sharing"",""รวมกลาง!J544"")+IMPORTRANGE(""https://docs.google.com/spreadsheets/d/1uOzBKYgpuhMUe0xXQLXSct3xZ80hakAMJHdG"&amp;"Jh9616E/edit?usp=sharing"",""รวมใต้!J544"")"),68)</f>
        <v>68</v>
      </c>
      <c r="K555" s="163"/>
      <c r="L555" s="180" t="s">
        <v>39</v>
      </c>
      <c r="M555" s="180"/>
      <c r="N555" s="180" t="s">
        <v>39</v>
      </c>
      <c r="O555" s="180"/>
      <c r="P555" s="180"/>
    </row>
    <row r="556" spans="1:16" ht="21.75" customHeight="1" x14ac:dyDescent="0.3">
      <c r="A556" s="174"/>
      <c r="B556" s="175"/>
      <c r="C556" s="175"/>
      <c r="D556" s="192"/>
      <c r="E556" s="193" t="s">
        <v>44</v>
      </c>
      <c r="F556" s="194"/>
      <c r="G556" s="195"/>
      <c r="H556" s="185"/>
      <c r="I556" s="186"/>
      <c r="J556" s="187">
        <f ca="1">IFERROR(__xludf.DUMMYFUNCTION("IMPORTRANGE(""https://docs.google.com/spreadsheets/d/1yGy89TWty5kAjAO5OL1fLLQ_DL8fVJHFf2LvMm8qymA/edit?usp=sharing"",""รวมเหนือ!J545"")+IMPORTRANGE(""https://docs.google.com/spreadsheets/d/1bWGR5Y7oTgtZIep2hLdTHG-chM0w9aHBSSpJHwm6lak/edit?usp=sharing"","""&amp;"รวมตะวันออกเฉียงเหนือ!J545"")+IMPORTRANGE(""https://docs.google.com/spreadsheets/d/1dCxWUCc_SKNp-qd8qsaa5pPX_-BuQqWJ_-8FnsS4Ki0/edit?usp=sharing"",""รวมกลาง!J545"")+IMPORTRANGE(""https://docs.google.com/spreadsheets/d/1uOzBKYgpuhMUe0xXQLXSct3xZ80hakAMJHdG"&amp;"Jh9616E/edit?usp=sharing"",""รวมใต้!J545"")"),70)</f>
        <v>70</v>
      </c>
      <c r="K556" s="163"/>
      <c r="L556" s="180"/>
      <c r="M556" s="180"/>
      <c r="N556" s="180"/>
      <c r="O556" s="180"/>
      <c r="P556" s="180"/>
    </row>
    <row r="557" spans="1:16" ht="21.75" customHeight="1" x14ac:dyDescent="0.3">
      <c r="A557" s="174"/>
      <c r="B557" s="175"/>
      <c r="C557" s="175"/>
      <c r="D557" s="192"/>
      <c r="E557" s="193" t="s">
        <v>45</v>
      </c>
      <c r="F557" s="194"/>
      <c r="G557" s="195"/>
      <c r="H557" s="185"/>
      <c r="I557" s="186"/>
      <c r="J557" s="186">
        <f ca="1">IFERROR(__xludf.DUMMYFUNCTION("IMPORTRANGE(""https://docs.google.com/spreadsheets/d/1yGy89TWty5kAjAO5OL1fLLQ_DL8fVJHFf2LvMm8qymA/edit?usp=sharing"",""รวมเหนือ!J546"")+IMPORTRANGE(""https://docs.google.com/spreadsheets/d/1bWGR5Y7oTgtZIep2hLdTHG-chM0w9aHBSSpJHwm6lak/edit?usp=sharing"","""&amp;"รวมตะวันออกเฉียงเหนือ!J546"")+IMPORTRANGE(""https://docs.google.com/spreadsheets/d/1dCxWUCc_SKNp-qd8qsaa5pPX_-BuQqWJ_-8FnsS4Ki0/edit?usp=sharing"",""รวมกลาง!J546"")+IMPORTRANGE(""https://docs.google.com/spreadsheets/d/1uOzBKYgpuhMUe0xXQLXSct3xZ80hakAMJHdG"&amp;"Jh9616E/edit?usp=sharing"",""รวมใต้!J546"")"),67)</f>
        <v>67</v>
      </c>
      <c r="K557" s="163"/>
      <c r="L557" s="180"/>
      <c r="M557" s="180"/>
      <c r="N557" s="180"/>
      <c r="O557" s="180"/>
      <c r="P557" s="180"/>
    </row>
    <row r="558" spans="1:16" ht="21.75" customHeight="1" x14ac:dyDescent="0.3">
      <c r="A558" s="174"/>
      <c r="B558" s="175"/>
      <c r="C558" s="175"/>
      <c r="D558" s="192"/>
      <c r="E558" s="196"/>
      <c r="F558" s="194"/>
      <c r="G558" s="474" t="s">
        <v>202</v>
      </c>
      <c r="H558" s="185" t="s">
        <v>37</v>
      </c>
      <c r="I558" s="187">
        <f ca="1">IFERROR(__xludf.DUMMYFUNCTION("IMPORTRANGE(""https://docs.google.com/spreadsheets/d/1yGy89TWty5kAjAO5OL1fLLQ_DL8fVJHFf2LvMm8qymA/edit?usp=sharing"",""รวมเหนือ!I547"")+IMPORTRANGE(""https://docs.google.com/spreadsheets/d/1bWGR5Y7oTgtZIep2hLdTHG-chM0w9aHBSSpJHwm6lak/edit?usp=sharing"","""&amp;"รวมตะวันออกเฉียงเหนือ!I547"")+IMPORTRANGE(""https://docs.google.com/spreadsheets/d/1dCxWUCc_SKNp-qd8qsaa5pPX_-BuQqWJ_-8FnsS4Ki0/edit?usp=sharing"",""รวมกลาง!I547"")+IMPORTRANGE(""https://docs.google.com/spreadsheets/d/1uOzBKYgpuhMUe0xXQLXSct3xZ80hakAMJHdG"&amp;"Jh9616E/edit?usp=sharing"",""รวมใต้!I547"")"),1584)</f>
        <v>1584</v>
      </c>
      <c r="J558" s="187">
        <f ca="1">IFERROR(__xludf.DUMMYFUNCTION("IMPORTRANGE(""https://docs.google.com/spreadsheets/d/1yGy89TWty5kAjAO5OL1fLLQ_DL8fVJHFf2LvMm8qymA/edit?usp=sharing"",""รวมเหนือ!J547"")+IMPORTRANGE(""https://docs.google.com/spreadsheets/d/1bWGR5Y7oTgtZIep2hLdTHG-chM0w9aHBSSpJHwm6lak/edit?usp=sharing"","""&amp;"รวมตะวันออกเฉียงเหนือ!J547"")+IMPORTRANGE(""https://docs.google.com/spreadsheets/d/1dCxWUCc_SKNp-qd8qsaa5pPX_-BuQqWJ_-8FnsS4Ki0/edit?usp=sharing"",""รวมกลาง!J547"")+IMPORTRANGE(""https://docs.google.com/spreadsheets/d/1uOzBKYgpuhMUe0xXQLXSct3xZ80hakAMJHdG"&amp;"Jh9616E/edit?usp=sharing"",""รวมใต้!J547"")"),1586)</f>
        <v>1586</v>
      </c>
      <c r="K558" s="163">
        <f t="shared" ref="K558:K559" ca="1" si="135">IF(I558&gt;0,J558*100/I558,0)</f>
        <v>100.12626262626263</v>
      </c>
      <c r="L558" s="180"/>
      <c r="M558" s="180"/>
      <c r="N558" s="180"/>
      <c r="O558" s="180"/>
      <c r="P558" s="180"/>
    </row>
    <row r="559" spans="1:16" ht="21.75" customHeight="1" x14ac:dyDescent="0.3">
      <c r="A559" s="174"/>
      <c r="B559" s="175"/>
      <c r="C559" s="175"/>
      <c r="D559" s="192"/>
      <c r="E559" s="196"/>
      <c r="F559" s="194"/>
      <c r="G559" s="474" t="s">
        <v>203</v>
      </c>
      <c r="H559" s="185" t="s">
        <v>37</v>
      </c>
      <c r="I559" s="344">
        <v>144</v>
      </c>
      <c r="J559" s="187">
        <f ca="1">IFERROR(__xludf.DUMMYFUNCTION("IMPORTRANGE(""https://docs.google.com/spreadsheets/d/1-fhVXPMm30suWK0-eslVgeT9cTVfCsDeUsq7Bk5UZE8/edit?usp=sharing"",""ทั้งประเทศ!J443"")"),0)</f>
        <v>0</v>
      </c>
      <c r="K559" s="163">
        <f t="shared" ca="1" si="135"/>
        <v>0</v>
      </c>
      <c r="L559" s="180"/>
      <c r="M559" s="180"/>
      <c r="N559" s="180"/>
      <c r="O559" s="180"/>
      <c r="P559" s="180"/>
    </row>
    <row r="560" spans="1:16" ht="21.75" customHeight="1" x14ac:dyDescent="0.3">
      <c r="A560" s="174"/>
      <c r="B560" s="175"/>
      <c r="C560" s="175"/>
      <c r="D560" s="192"/>
      <c r="E560" s="193" t="s">
        <v>51</v>
      </c>
      <c r="F560" s="194"/>
      <c r="G560" s="195"/>
      <c r="H560" s="185"/>
      <c r="I560" s="186"/>
      <c r="J560" s="186">
        <f ca="1">IFERROR(__xludf.DUMMYFUNCTION("IMPORTRANGE(""https://docs.google.com/spreadsheets/d/1yGy89TWty5kAjAO5OL1fLLQ_DL8fVJHFf2LvMm8qymA/edit?usp=sharing"",""รวมเหนือ!J549"")+IMPORTRANGE(""https://docs.google.com/spreadsheets/d/1bWGR5Y7oTgtZIep2hLdTHG-chM0w9aHBSSpJHwm6lak/edit?usp=sharing"","""&amp;"รวมตะวันออกเฉียงเหนือ!J549"")+IMPORTRANGE(""https://docs.google.com/spreadsheets/d/1dCxWUCc_SKNp-qd8qsaa5pPX_-BuQqWJ_-8FnsS4Ki0/edit?usp=sharing"",""รวมกลาง!J549"")+IMPORTRANGE(""https://docs.google.com/spreadsheets/d/1uOzBKYgpuhMUe0xXQLXSct3xZ80hakAMJHdG"&amp;"Jh9616E/edit?usp=sharing"",""รวมใต้!J549"")"),9)</f>
        <v>9</v>
      </c>
      <c r="K560" s="163"/>
      <c r="L560" s="180"/>
      <c r="M560" s="180"/>
      <c r="N560" s="180"/>
      <c r="O560" s="180"/>
      <c r="P560" s="180"/>
    </row>
    <row r="561" spans="1:16" ht="21.75" customHeight="1" x14ac:dyDescent="0.3">
      <c r="A561" s="465"/>
      <c r="B561" s="466"/>
      <c r="C561" s="466"/>
      <c r="D561" s="475">
        <v>3</v>
      </c>
      <c r="E561" s="476" t="s">
        <v>52</v>
      </c>
      <c r="F561" s="477"/>
      <c r="G561" s="478"/>
      <c r="H561" s="479"/>
      <c r="I561" s="471"/>
      <c r="J561" s="480">
        <f ca="1">IFERROR(__xludf.DUMMYFUNCTION("IMPORTRANGE(""https://docs.google.com/spreadsheets/d/1yGy89TWty5kAjAO5OL1fLLQ_DL8fVJHFf2LvMm8qymA/edit?usp=sharing"",""รวมเหนือ!J550"")+IMPORTRANGE(""https://docs.google.com/spreadsheets/d/1bWGR5Y7oTgtZIep2hLdTHG-chM0w9aHBSSpJHwm6lak/edit?usp=sharing"","""&amp;"รวมตะวันออกเฉียงเหนือ!J550"")+IMPORTRANGE(""https://docs.google.com/spreadsheets/d/1dCxWUCc_SKNp-qd8qsaa5pPX_-BuQqWJ_-8FnsS4Ki0/edit?usp=sharing"",""รวมกลาง!J550"")+IMPORTRANGE(""https://docs.google.com/spreadsheets/d/1uOzBKYgpuhMUe0xXQLXSct3xZ80hakAMJHdG"&amp;"Jh9616E/edit?usp=sharing"",""รวมใต้!J550"")"),5)</f>
        <v>5</v>
      </c>
      <c r="K561" s="472"/>
      <c r="L561" s="473"/>
      <c r="M561" s="473"/>
      <c r="N561" s="473"/>
      <c r="O561" s="473"/>
      <c r="P561" s="473"/>
    </row>
    <row r="562" spans="1:16" ht="21.75" customHeight="1" x14ac:dyDescent="0.3">
      <c r="A562" s="408"/>
      <c r="B562" s="409">
        <v>7</v>
      </c>
      <c r="C562" s="410" t="s">
        <v>204</v>
      </c>
      <c r="D562" s="410"/>
      <c r="E562" s="410"/>
      <c r="F562" s="410"/>
      <c r="G562" s="411"/>
      <c r="H562" s="412" t="s">
        <v>121</v>
      </c>
      <c r="I562" s="413">
        <f t="shared" ref="I562:J562" ca="1" si="136">I571+I573</f>
        <v>200000</v>
      </c>
      <c r="J562" s="413">
        <f t="shared" ca="1" si="136"/>
        <v>86266</v>
      </c>
      <c r="K562" s="414">
        <f ca="1">IF(I562&gt;0,J562*100/I562,0)</f>
        <v>43.133000000000003</v>
      </c>
      <c r="L562" s="415">
        <f ca="1">L563+L564</f>
        <v>16433900</v>
      </c>
      <c r="M562" s="415"/>
      <c r="N562" s="415">
        <f ca="1">N563+N564</f>
        <v>5681664.3799999999</v>
      </c>
      <c r="O562" s="415">
        <f t="shared" ref="O562:O566" ca="1" si="137">+IF(L562&gt;0,N562*100/L562,0)</f>
        <v>34.572830429782343</v>
      </c>
      <c r="P562" s="415"/>
    </row>
    <row r="563" spans="1:16" ht="21.75" customHeight="1" x14ac:dyDescent="0.3">
      <c r="A563" s="158"/>
      <c r="B563" s="159"/>
      <c r="C563" s="159" t="s">
        <v>16</v>
      </c>
      <c r="D563" s="274" t="s">
        <v>75</v>
      </c>
      <c r="E563" s="167"/>
      <c r="F563" s="167"/>
      <c r="G563" s="374" t="s">
        <v>38</v>
      </c>
      <c r="H563" s="161" t="s">
        <v>12</v>
      </c>
      <c r="I563" s="162" t="s">
        <v>39</v>
      </c>
      <c r="J563" s="162"/>
      <c r="K563" s="163"/>
      <c r="L563" s="275">
        <f ca="1">IFERROR(__xludf.DUMMYFUNCTION("IMPORTRANGE(""https://docs.google.com/spreadsheets/d/1muirlRDkqiswvy_NRZ3Yh955hx-PF6_HhssUYiSJj8o/edit?usp=sharing"",""กองทุนส่วนกลาง!AE10"")"),13125900)</f>
        <v>13125900</v>
      </c>
      <c r="M563" s="275"/>
      <c r="N563" s="276">
        <f ca="1">IFERROR(__xludf.DUMMYFUNCTION("IMPORTRANGE(""https://docs.google.com/spreadsheets/d/1-fhVXPMm30suWK0-eslVgeT9cTVfCsDeUsq7Bk5UZE8/edit?usp=sharing"",""ทั้งประเทศ!M447"")"),3974539.97)</f>
        <v>3974539.97</v>
      </c>
      <c r="O563" s="276">
        <f t="shared" ca="1" si="137"/>
        <v>30.280132943264842</v>
      </c>
      <c r="P563" s="165"/>
    </row>
    <row r="564" spans="1:16" ht="21.75" customHeight="1" x14ac:dyDescent="0.3">
      <c r="A564" s="158"/>
      <c r="B564" s="159"/>
      <c r="C564" s="159"/>
      <c r="D564" s="166"/>
      <c r="E564" s="167"/>
      <c r="F564" s="167" t="s">
        <v>39</v>
      </c>
      <c r="G564" s="374" t="s">
        <v>40</v>
      </c>
      <c r="H564" s="161" t="s">
        <v>12</v>
      </c>
      <c r="I564" s="162"/>
      <c r="J564" s="162"/>
      <c r="K564" s="163"/>
      <c r="L564" s="276">
        <f ca="1">L565+L566</f>
        <v>3308000</v>
      </c>
      <c r="M564" s="276"/>
      <c r="N564" s="276">
        <f ca="1">N565+N566</f>
        <v>1707124.41</v>
      </c>
      <c r="O564" s="276">
        <f t="shared" ca="1" si="137"/>
        <v>51.605937424425633</v>
      </c>
      <c r="P564" s="165"/>
    </row>
    <row r="565" spans="1:16" ht="21.75" customHeight="1" x14ac:dyDescent="0.4">
      <c r="A565" s="158"/>
      <c r="B565" s="159"/>
      <c r="C565" s="159"/>
      <c r="D565" s="166"/>
      <c r="E565" s="167"/>
      <c r="F565" s="167"/>
      <c r="G565" s="34" t="s">
        <v>21</v>
      </c>
      <c r="H565" s="168" t="s">
        <v>12</v>
      </c>
      <c r="I565" s="162"/>
      <c r="J565" s="162"/>
      <c r="K565" s="163"/>
      <c r="L565" s="165">
        <f ca="1">IFERROR(__xludf.DUMMYFUNCTION("IMPORTRANGE(""https://docs.google.com/spreadsheets/d/1yGy89TWty5kAjAO5OL1fLLQ_DL8fVJHFf2LvMm8qymA/edit?usp=sharing"",""รวมเหนือ!L554"")+IMPORTRANGE(""https://docs.google.com/spreadsheets/d/1bWGR5Y7oTgtZIep2hLdTHG-chM0w9aHBSSpJHwm6lak/edit?usp=sharing"","""&amp;"รวมตะวันออกเฉียงเหนือ!L554"")+IMPORTRANGE(""https://docs.google.com/spreadsheets/d/1dCxWUCc_SKNp-qd8qsaa5pPX_-BuQqWJ_-8FnsS4Ki0/edit?usp=sharing"",""รวมกลาง!L554"")+IMPORTRANGE(""https://docs.google.com/spreadsheets/d/1uOzBKYgpuhMUe0xXQLXSct3xZ80hakAMJHdG"&amp;"Jh9616E/edit?usp=sharing"",""รวมใต้!L554"")"),0)</f>
        <v>0</v>
      </c>
      <c r="M565" s="165"/>
      <c r="N565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65" s="165">
        <f t="shared" ca="1" si="137"/>
        <v>0</v>
      </c>
      <c r="P565" s="165"/>
    </row>
    <row r="566" spans="1:16" ht="21.75" customHeight="1" x14ac:dyDescent="0.4">
      <c r="A566" s="158"/>
      <c r="B566" s="159"/>
      <c r="C566" s="159"/>
      <c r="D566" s="166"/>
      <c r="E566" s="167"/>
      <c r="F566" s="167"/>
      <c r="G566" s="34" t="s">
        <v>22</v>
      </c>
      <c r="H566" s="168" t="s">
        <v>12</v>
      </c>
      <c r="I566" s="162"/>
      <c r="J566" s="162"/>
      <c r="K566" s="163"/>
      <c r="L566" s="165">
        <f ca="1">IFERROR(__xludf.DUMMYFUNCTION("IMPORTRANGE(""https://docs.google.com/spreadsheets/d/1yGy89TWty5kAjAO5OL1fLLQ_DL8fVJHFf2LvMm8qymA/edit?usp=sharing"",""รวมเหนือ!L555"")+IMPORTRANGE(""https://docs.google.com/spreadsheets/d/1bWGR5Y7oTgtZIep2hLdTHG-chM0w9aHBSSpJHwm6lak/edit?usp=sharing"","""&amp;"รวมตะวันออกเฉียงเหนือ!L555"")+IMPORTRANGE(""https://docs.google.com/spreadsheets/d/1dCxWUCc_SKNp-qd8qsaa5pPX_-BuQqWJ_-8FnsS4Ki0/edit?usp=sharing"",""รวมกลาง!L555"")+IMPORTRANGE(""https://docs.google.com/spreadsheets/d/1uOzBKYgpuhMUe0xXQLXSct3xZ80hakAMJHdG"&amp;"Jh9616E/edit?usp=sharing"",""รวมใต้!L555"")"),3308000)</f>
        <v>3308000</v>
      </c>
      <c r="M566" s="165"/>
      <c r="N566" s="165">
        <f ca="1">N567+N568+N569+N570</f>
        <v>1707124.41</v>
      </c>
      <c r="O566" s="165">
        <f t="shared" ca="1" si="137"/>
        <v>51.605937424425633</v>
      </c>
      <c r="P566" s="165"/>
    </row>
    <row r="567" spans="1:16" ht="21.75" customHeight="1" x14ac:dyDescent="0.3">
      <c r="A567" s="375"/>
      <c r="B567" s="376"/>
      <c r="C567" s="159"/>
      <c r="D567" s="377"/>
      <c r="E567" s="167"/>
      <c r="F567" s="167"/>
      <c r="G567" s="378" t="s">
        <v>129</v>
      </c>
      <c r="H567" s="168" t="s">
        <v>12</v>
      </c>
      <c r="I567" s="186"/>
      <c r="J567" s="186"/>
      <c r="K567" s="221"/>
      <c r="L567" s="165"/>
      <c r="M567" s="165"/>
      <c r="N567" s="164">
        <f ca="1">IFERROR(__xludf.DUMMYFUNCTION("IMPORTRANGE(""https://docs.google.com/spreadsheets/d/1yGy89TWty5kAjAO5OL1fLLQ_DL8fVJHFf2LvMm8qymA/edit?usp=sharing"",""รวมเหนือ!N556"")+IMPORTRANGE(""https://docs.google.com/spreadsheets/d/1bWGR5Y7oTgtZIep2hLdTHG-chM0w9aHBSSpJHwm6lak/edit?usp=sharing"","""&amp;"รวมตะวันออกเฉียงเหนือ!N556"")+IMPORTRANGE(""https://docs.google.com/spreadsheets/d/1dCxWUCc_SKNp-qd8qsaa5pPX_-BuQqWJ_-8FnsS4Ki0/edit?usp=sharing"",""รวมกลาง!N556"")+IMPORTRANGE(""https://docs.google.com/spreadsheets/d/1uOzBKYgpuhMUe0xXQLXSct3xZ80hakAMJHdG"&amp;"Jh9616E/edit?usp=sharing"",""รวมใต้!N556"")"),0)</f>
        <v>0</v>
      </c>
      <c r="O567" s="165"/>
      <c r="P567" s="165"/>
    </row>
    <row r="568" spans="1:16" ht="21.75" customHeight="1" x14ac:dyDescent="0.3">
      <c r="A568" s="375"/>
      <c r="B568" s="376"/>
      <c r="C568" s="159"/>
      <c r="D568" s="377"/>
      <c r="E568" s="167"/>
      <c r="F568" s="167"/>
      <c r="G568" s="378" t="s">
        <v>130</v>
      </c>
      <c r="H568" s="168" t="s">
        <v>12</v>
      </c>
      <c r="I568" s="186"/>
      <c r="J568" s="186"/>
      <c r="K568" s="221"/>
      <c r="L568" s="165"/>
      <c r="M568" s="165"/>
      <c r="N568" s="164">
        <f ca="1">IFERROR(__xludf.DUMMYFUNCTION("IMPORTRANGE(""https://docs.google.com/spreadsheets/d/1yGy89TWty5kAjAO5OL1fLLQ_DL8fVJHFf2LvMm8qymA/edit?usp=sharing"",""รวมเหนือ!N557"")+IMPORTRANGE(""https://docs.google.com/spreadsheets/d/1bWGR5Y7oTgtZIep2hLdTHG-chM0w9aHBSSpJHwm6lak/edit?usp=sharing"","""&amp;"รวมตะวันออกเฉียงเหนือ!N557"")+IMPORTRANGE(""https://docs.google.com/spreadsheets/d/1dCxWUCc_SKNp-qd8qsaa5pPX_-BuQqWJ_-8FnsS4Ki0/edit?usp=sharing"",""รวมกลาง!N557"")+IMPORTRANGE(""https://docs.google.com/spreadsheets/d/1uOzBKYgpuhMUe0xXQLXSct3xZ80hakAMJHdG"&amp;"Jh9616E/edit?usp=sharing"",""รวมใต้!N557"")"),0)</f>
        <v>0</v>
      </c>
      <c r="O568" s="165"/>
      <c r="P568" s="165"/>
    </row>
    <row r="569" spans="1:16" ht="21.75" customHeight="1" x14ac:dyDescent="0.3">
      <c r="A569" s="375"/>
      <c r="B569" s="376"/>
      <c r="C569" s="159"/>
      <c r="D569" s="377"/>
      <c r="E569" s="167"/>
      <c r="F569" s="167"/>
      <c r="G569" s="378" t="s">
        <v>131</v>
      </c>
      <c r="H569" s="168" t="s">
        <v>12</v>
      </c>
      <c r="I569" s="186"/>
      <c r="J569" s="186"/>
      <c r="K569" s="221"/>
      <c r="L569" s="165"/>
      <c r="M569" s="165"/>
      <c r="N569" s="164">
        <f ca="1">IFERROR(__xludf.DUMMYFUNCTION("IMPORTRANGE(""https://docs.google.com/spreadsheets/d/1yGy89TWty5kAjAO5OL1fLLQ_DL8fVJHFf2LvMm8qymA/edit?usp=sharing"",""รวมเหนือ!N558"")+IMPORTRANGE(""https://docs.google.com/spreadsheets/d/1bWGR5Y7oTgtZIep2hLdTHG-chM0w9aHBSSpJHwm6lak/edit?usp=sharing"","""&amp;"รวมตะวันออกเฉียงเหนือ!N558"")+IMPORTRANGE(""https://docs.google.com/spreadsheets/d/1dCxWUCc_SKNp-qd8qsaa5pPX_-BuQqWJ_-8FnsS4Ki0/edit?usp=sharing"",""รวมกลาง!N558"")+IMPORTRANGE(""https://docs.google.com/spreadsheets/d/1uOzBKYgpuhMUe0xXQLXSct3xZ80hakAMJHdG"&amp;"Jh9616E/edit?usp=sharing"",""รวมใต้!N558"")"),321803.76)</f>
        <v>321803.76</v>
      </c>
      <c r="O569" s="165"/>
      <c r="P569" s="165"/>
    </row>
    <row r="570" spans="1:16" ht="21.75" customHeight="1" x14ac:dyDescent="0.3">
      <c r="A570" s="375"/>
      <c r="B570" s="376"/>
      <c r="C570" s="159"/>
      <c r="D570" s="377"/>
      <c r="E570" s="167"/>
      <c r="F570" s="167"/>
      <c r="G570" s="378" t="s">
        <v>132</v>
      </c>
      <c r="H570" s="168" t="s">
        <v>12</v>
      </c>
      <c r="I570" s="186"/>
      <c r="J570" s="186"/>
      <c r="K570" s="221"/>
      <c r="L570" s="165"/>
      <c r="M570" s="165"/>
      <c r="N570" s="164">
        <f ca="1">IFERROR(__xludf.DUMMYFUNCTION("IMPORTRANGE(""https://docs.google.com/spreadsheets/d/1yGy89TWty5kAjAO5OL1fLLQ_DL8fVJHFf2LvMm8qymA/edit?usp=sharing"",""รวมเหนือ!N559"")+IMPORTRANGE(""https://docs.google.com/spreadsheets/d/1bWGR5Y7oTgtZIep2hLdTHG-chM0w9aHBSSpJHwm6lak/edit?usp=sharing"","""&amp;"รวมตะวันออกเฉียงเหนือ!N559"")+IMPORTRANGE(""https://docs.google.com/spreadsheets/d/1dCxWUCc_SKNp-qd8qsaa5pPX_-BuQqWJ_-8FnsS4Ki0/edit?usp=sharing"",""รวมกลาง!N559"")+IMPORTRANGE(""https://docs.google.com/spreadsheets/d/1uOzBKYgpuhMUe0xXQLXSct3xZ80hakAMJHdG"&amp;"Jh9616E/edit?usp=sharing"",""รวมใต้!N559"")"),1385320.65)</f>
        <v>1385320.65</v>
      </c>
      <c r="O570" s="165"/>
      <c r="P570" s="165"/>
    </row>
    <row r="571" spans="1:16" ht="21.75" customHeight="1" x14ac:dyDescent="0.3">
      <c r="A571" s="174"/>
      <c r="B571" s="175"/>
      <c r="C571" s="175"/>
      <c r="D571" s="192"/>
      <c r="E571" s="194"/>
      <c r="F571" s="278" t="s">
        <v>205</v>
      </c>
      <c r="G571" s="195"/>
      <c r="H571" s="481" t="s">
        <v>121</v>
      </c>
      <c r="I571" s="162">
        <f ca="1">IFERROR(__xludf.DUMMYFUNCTION("IMPORTRANGE(""https://docs.google.com/spreadsheets/d/1yGy89TWty5kAjAO5OL1fLLQ_DL8fVJHFf2LvMm8qymA/edit?usp=sharing"",""รวมเหนือ!I560"")+IMPORTRANGE(""https://docs.google.com/spreadsheets/d/1bWGR5Y7oTgtZIep2hLdTHG-chM0w9aHBSSpJHwm6lak/edit?usp=sharing"","""&amp;"รวมตะวันออกเฉียงเหนือ!I560"")+IMPORTRANGE(""https://docs.google.com/spreadsheets/d/1dCxWUCc_SKNp-qd8qsaa5pPX_-BuQqWJ_-8FnsS4Ki0/edit?usp=sharing"",""รวมกลาง!I560"")+IMPORTRANGE(""https://docs.google.com/spreadsheets/d/1uOzBKYgpuhMUe0xXQLXSct3xZ80hakAMJHdG"&amp;"Jh9616E/edit?usp=sharing"",""รวมใต้!I560"")"),53000)</f>
        <v>53000</v>
      </c>
      <c r="J571" s="162">
        <f ca="1">IFERROR(__xludf.DUMMYFUNCTION("IMPORTRANGE(""https://docs.google.com/spreadsheets/d/1yGy89TWty5kAjAO5OL1fLLQ_DL8fVJHFf2LvMm8qymA/edit?usp=sharing"",""รวมเหนือ!J560"")+IMPORTRANGE(""https://docs.google.com/spreadsheets/d/1bWGR5Y7oTgtZIep2hLdTHG-chM0w9aHBSSpJHwm6lak/edit?usp=sharing"","""&amp;"รวมตะวันออกเฉียงเหนือ!J560"")+IMPORTRANGE(""https://docs.google.com/spreadsheets/d/1dCxWUCc_SKNp-qd8qsaa5pPX_-BuQqWJ_-8FnsS4Ki0/edit?usp=sharing"",""รวมกลาง!J560"")+IMPORTRANGE(""https://docs.google.com/spreadsheets/d/1uOzBKYgpuhMUe0xXQLXSct3xZ80hakAMJHdG"&amp;"Jh9616E/edit?usp=sharing"",""รวมใต้!J560"")"),21876)</f>
        <v>21876</v>
      </c>
      <c r="K571" s="221">
        <f t="shared" ref="K571:K575" ca="1" si="138">IF(I571&gt;0,J571*100/I571,0)</f>
        <v>41.275471698113208</v>
      </c>
      <c r="L571" s="165"/>
      <c r="M571" s="165"/>
      <c r="N571" s="165"/>
      <c r="O571" s="180"/>
      <c r="P571" s="180"/>
    </row>
    <row r="572" spans="1:16" ht="21.75" customHeight="1" x14ac:dyDescent="0.3">
      <c r="A572" s="174"/>
      <c r="B572" s="175"/>
      <c r="C572" s="175"/>
      <c r="D572" s="192"/>
      <c r="E572" s="194"/>
      <c r="F572" s="194"/>
      <c r="G572" s="195"/>
      <c r="H572" s="481" t="s">
        <v>36</v>
      </c>
      <c r="I572" s="162">
        <f ca="1">IFERROR(__xludf.DUMMYFUNCTION("IMPORTRANGE(""https://docs.google.com/spreadsheets/d/1yGy89TWty5kAjAO5OL1fLLQ_DL8fVJHFf2LvMm8qymA/edit?usp=sharing"",""รวมเหนือ!I561"")+IMPORTRANGE(""https://docs.google.com/spreadsheets/d/1bWGR5Y7oTgtZIep2hLdTHG-chM0w9aHBSSpJHwm6lak/edit?usp=sharing"","""&amp;"รวมตะวันออกเฉียงเหนือ!I561"")+IMPORTRANGE(""https://docs.google.com/spreadsheets/d/1dCxWUCc_SKNp-qd8qsaa5pPX_-BuQqWJ_-8FnsS4Ki0/edit?usp=sharing"",""รวมกลาง!I561"")+IMPORTRANGE(""https://docs.google.com/spreadsheets/d/1uOzBKYgpuhMUe0xXQLXSct3xZ80hakAMJHdG"&amp;"Jh9616E/edit?usp=sharing"",""รวมใต้!I561"")"),0)</f>
        <v>0</v>
      </c>
      <c r="J572" s="187">
        <f ca="1">IFERROR(__xludf.DUMMYFUNCTION("IMPORTRANGE(""https://docs.google.com/spreadsheets/d/1yGy89TWty5kAjAO5OL1fLLQ_DL8fVJHFf2LvMm8qymA/edit?usp=sharing"",""รวมเหนือ!J561"")+IMPORTRANGE(""https://docs.google.com/spreadsheets/d/1bWGR5Y7oTgtZIep2hLdTHG-chM0w9aHBSSpJHwm6lak/edit?usp=sharing"","""&amp;"รวมตะวันออกเฉียงเหนือ!J561"")+IMPORTRANGE(""https://docs.google.com/spreadsheets/d/1dCxWUCc_SKNp-qd8qsaa5pPX_-BuQqWJ_-8FnsS4Ki0/edit?usp=sharing"",""รวมกลาง!J561"")+IMPORTRANGE(""https://docs.google.com/spreadsheets/d/1uOzBKYgpuhMUe0xXQLXSct3xZ80hakAMJHdG"&amp;"Jh9616E/edit?usp=sharing"",""รวมใต้!J561"")"),1913)</f>
        <v>1913</v>
      </c>
      <c r="K572" s="221">
        <f t="shared" ca="1" si="138"/>
        <v>0</v>
      </c>
      <c r="L572" s="165"/>
      <c r="M572" s="165"/>
      <c r="N572" s="165"/>
      <c r="O572" s="180"/>
      <c r="P572" s="180"/>
    </row>
    <row r="573" spans="1:16" ht="21.75" customHeight="1" x14ac:dyDescent="0.3">
      <c r="A573" s="174"/>
      <c r="B573" s="175"/>
      <c r="C573" s="175"/>
      <c r="D573" s="192"/>
      <c r="E573" s="194"/>
      <c r="F573" s="194" t="s">
        <v>206</v>
      </c>
      <c r="G573" s="195"/>
      <c r="H573" s="481" t="s">
        <v>121</v>
      </c>
      <c r="I573" s="200">
        <v>147000</v>
      </c>
      <c r="J573" s="187">
        <f ca="1">IFERROR(__xludf.DUMMYFUNCTION("IMPORTRANGE(""https://docs.google.com/spreadsheets/d/1-fhVXPMm30suWK0-eslVgeT9cTVfCsDeUsq7Bk5UZE8/edit?usp=sharing"",""ทั้งประเทศ!J457"")"),64390)</f>
        <v>64390</v>
      </c>
      <c r="K573" s="163">
        <f t="shared" ca="1" si="138"/>
        <v>43.802721088435376</v>
      </c>
      <c r="L573" s="180"/>
      <c r="M573" s="180"/>
      <c r="N573" s="180"/>
      <c r="O573" s="180"/>
      <c r="P573" s="180"/>
    </row>
    <row r="574" spans="1:16" ht="21.75" customHeight="1" x14ac:dyDescent="0.3">
      <c r="A574" s="174"/>
      <c r="B574" s="175"/>
      <c r="C574" s="175"/>
      <c r="D574" s="192"/>
      <c r="E574" s="194"/>
      <c r="F574" s="194"/>
      <c r="G574" s="195"/>
      <c r="H574" s="481" t="s">
        <v>36</v>
      </c>
      <c r="I574" s="200">
        <v>0</v>
      </c>
      <c r="J574" s="187">
        <f ca="1">IFERROR(__xludf.DUMMYFUNCTION("IMPORTRANGE(""https://docs.google.com/spreadsheets/d/1-fhVXPMm30suWK0-eslVgeT9cTVfCsDeUsq7Bk5UZE8/edit?usp=sharing"",""ทั้งประเทศ!J458"")"),3622)</f>
        <v>3622</v>
      </c>
      <c r="K574" s="163">
        <f t="shared" si="138"/>
        <v>0</v>
      </c>
      <c r="L574" s="180"/>
      <c r="M574" s="180"/>
      <c r="N574" s="180"/>
      <c r="O574" s="180"/>
      <c r="P574" s="180"/>
    </row>
    <row r="575" spans="1:16" ht="21.75" customHeight="1" x14ac:dyDescent="0.3">
      <c r="A575" s="366"/>
      <c r="B575" s="367">
        <v>8</v>
      </c>
      <c r="C575" s="368" t="s">
        <v>207</v>
      </c>
      <c r="D575" s="368"/>
      <c r="E575" s="368"/>
      <c r="F575" s="368"/>
      <c r="G575" s="369"/>
      <c r="H575" s="370" t="s">
        <v>37</v>
      </c>
      <c r="I575" s="371">
        <f ca="1">IFERROR(__xludf.DUMMYFUNCTION("IMPORTRANGE(""https://docs.google.com/spreadsheets/d/1yGy89TWty5kAjAO5OL1fLLQ_DL8fVJHFf2LvMm8qymA/edit?usp=sharing"",""รวมเหนือ!I564"")+IMPORTRANGE(""https://docs.google.com/spreadsheets/d/1bWGR5Y7oTgtZIep2hLdTHG-chM0w9aHBSSpJHwm6lak/edit?usp=sharing"","""&amp;"รวมตะวันออกเฉียงเหนือ!I564"")+IMPORTRANGE(""https://docs.google.com/spreadsheets/d/1dCxWUCc_SKNp-qd8qsaa5pPX_-BuQqWJ_-8FnsS4Ki0/edit?usp=sharing"",""รวมกลาง!I564"")+IMPORTRANGE(""https://docs.google.com/spreadsheets/d/1uOzBKYgpuhMUe0xXQLXSct3xZ80hakAMJHdG"&amp;"Jh9616E/edit?usp=sharing"",""รวมใต้!I564"")"),136000)</f>
        <v>136000</v>
      </c>
      <c r="J575" s="371">
        <f ca="1">IFERROR(__xludf.DUMMYFUNCTION("IMPORTRANGE(""https://docs.google.com/spreadsheets/d/1yGy89TWty5kAjAO5OL1fLLQ_DL8fVJHFf2LvMm8qymA/edit?usp=sharing"",""รวมเหนือ!J564"")+IMPORTRANGE(""https://docs.google.com/spreadsheets/d/1bWGR5Y7oTgtZIep2hLdTHG-chM0w9aHBSSpJHwm6lak/edit?usp=sharing"","""&amp;"รวมตะวันออกเฉียงเหนือ!J564"")+IMPORTRANGE(""https://docs.google.com/spreadsheets/d/1dCxWUCc_SKNp-qd8qsaa5pPX_-BuQqWJ_-8FnsS4Ki0/edit?usp=sharing"",""รวมกลาง!J564"")+IMPORTRANGE(""https://docs.google.com/spreadsheets/d/1uOzBKYgpuhMUe0xXQLXSct3xZ80hakAMJHdG"&amp;"Jh9616E/edit?usp=sharing"",""รวมใต้!J564"")"),150062)</f>
        <v>150062</v>
      </c>
      <c r="K575" s="372">
        <f t="shared" ca="1" si="138"/>
        <v>110.33970588235294</v>
      </c>
      <c r="L575" s="373">
        <f ca="1">L576+L577</f>
        <v>10508000</v>
      </c>
      <c r="M575" s="373"/>
      <c r="N575" s="373">
        <f ca="1">N576+N577</f>
        <v>4485246.6999999993</v>
      </c>
      <c r="O575" s="373">
        <f t="shared" ref="O575:O579" ca="1" si="139">+IF(L575&gt;0,N575*100/L575,0)</f>
        <v>42.684114008374564</v>
      </c>
      <c r="P575" s="373"/>
    </row>
    <row r="576" spans="1:16" ht="21.75" customHeight="1" x14ac:dyDescent="0.3">
      <c r="A576" s="158"/>
      <c r="B576" s="159"/>
      <c r="C576" s="159" t="s">
        <v>16</v>
      </c>
      <c r="D576" s="274" t="s">
        <v>75</v>
      </c>
      <c r="E576" s="167"/>
      <c r="F576" s="167"/>
      <c r="G576" s="374" t="s">
        <v>38</v>
      </c>
      <c r="H576" s="168" t="s">
        <v>12</v>
      </c>
      <c r="I576" s="162" t="s">
        <v>39</v>
      </c>
      <c r="J576" s="162"/>
      <c r="K576" s="163"/>
      <c r="L576" s="275">
        <f ca="1">IFERROR(__xludf.DUMMYFUNCTION("IMPORTRANGE(""https://docs.google.com/spreadsheets/d/1muirlRDkqiswvy_NRZ3Yh955hx-PF6_HhssUYiSJj8o/edit?usp=sharing"",""กองทุนส่วนกลาง!AI10"")"),486960)</f>
        <v>486960</v>
      </c>
      <c r="M576" s="275"/>
      <c r="N576" s="276">
        <f ca="1">IFERROR(__xludf.DUMMYFUNCTION("IMPORTRANGE(""https://docs.google.com/spreadsheets/d/1-fhVXPMm30suWK0-eslVgeT9cTVfCsDeUsq7Bk5UZE8/edit?usp=sharing"",""ทั้งประเทศ!M460"")"),55700.01)</f>
        <v>55700.01</v>
      </c>
      <c r="O576" s="276">
        <f t="shared" ca="1" si="139"/>
        <v>11.438313208477082</v>
      </c>
      <c r="P576" s="165"/>
    </row>
    <row r="577" spans="1:16" ht="21.75" customHeight="1" x14ac:dyDescent="0.3">
      <c r="A577" s="158"/>
      <c r="B577" s="159"/>
      <c r="C577" s="159"/>
      <c r="D577" s="166"/>
      <c r="E577" s="167"/>
      <c r="F577" s="167" t="s">
        <v>39</v>
      </c>
      <c r="G577" s="374" t="s">
        <v>40</v>
      </c>
      <c r="H577" s="168" t="s">
        <v>12</v>
      </c>
      <c r="I577" s="162"/>
      <c r="J577" s="162"/>
      <c r="K577" s="163"/>
      <c r="L577" s="276">
        <f ca="1">L578+L579</f>
        <v>10021040</v>
      </c>
      <c r="M577" s="276"/>
      <c r="N577" s="276">
        <f ca="1">N578+N579</f>
        <v>4429546.6899999995</v>
      </c>
      <c r="O577" s="276">
        <f t="shared" ca="1" si="139"/>
        <v>44.202464913821316</v>
      </c>
      <c r="P577" s="165"/>
    </row>
    <row r="578" spans="1:16" ht="21.75" customHeight="1" x14ac:dyDescent="0.4">
      <c r="A578" s="158"/>
      <c r="B578" s="159"/>
      <c r="C578" s="159"/>
      <c r="D578" s="166"/>
      <c r="E578" s="167"/>
      <c r="F578" s="167"/>
      <c r="G578" s="34" t="s">
        <v>21</v>
      </c>
      <c r="H578" s="168" t="s">
        <v>12</v>
      </c>
      <c r="I578" s="162"/>
      <c r="J578" s="162"/>
      <c r="K578" s="163"/>
      <c r="L578" s="165">
        <f ca="1">IFERROR(__xludf.DUMMYFUNCTION("IMPORTRANGE(""https://docs.google.com/spreadsheets/d/1yGy89TWty5kAjAO5OL1fLLQ_DL8fVJHFf2LvMm8qymA/edit?usp=sharing"",""รวมเหนือ!L567"")+IMPORTRANGE(""https://docs.google.com/spreadsheets/d/1bWGR5Y7oTgtZIep2hLdTHG-chM0w9aHBSSpJHwm6lak/edit?usp=sharing"","""&amp;"รวมตะวันออกเฉียงเหนือ!L567"")+IMPORTRANGE(""https://docs.google.com/spreadsheets/d/1dCxWUCc_SKNp-qd8qsaa5pPX_-BuQqWJ_-8FnsS4Ki0/edit?usp=sharing"",""รวมกลาง!L567"")+IMPORTRANGE(""https://docs.google.com/spreadsheets/d/1uOzBKYgpuhMUe0xXQLXSct3xZ80hakAMJHdG"&amp;"Jh9616E/edit?usp=sharing"",""รวมใต้!L567"")"),0)</f>
        <v>0</v>
      </c>
      <c r="M578" s="165"/>
      <c r="N578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78" s="165">
        <f t="shared" ca="1" si="139"/>
        <v>0</v>
      </c>
      <c r="P578" s="165"/>
    </row>
    <row r="579" spans="1:16" ht="21.75" customHeight="1" x14ac:dyDescent="0.4">
      <c r="A579" s="158"/>
      <c r="B579" s="159"/>
      <c r="C579" s="159"/>
      <c r="D579" s="166"/>
      <c r="E579" s="167"/>
      <c r="F579" s="167"/>
      <c r="G579" s="34" t="s">
        <v>22</v>
      </c>
      <c r="H579" s="168" t="s">
        <v>12</v>
      </c>
      <c r="I579" s="162"/>
      <c r="J579" s="162"/>
      <c r="K579" s="163"/>
      <c r="L579" s="165">
        <f ca="1">IFERROR(__xludf.DUMMYFUNCTION("IMPORTRANGE(""https://docs.google.com/spreadsheets/d/1yGy89TWty5kAjAO5OL1fLLQ_DL8fVJHFf2LvMm8qymA/edit?usp=sharing"",""รวมเหนือ!L568"")+IMPORTRANGE(""https://docs.google.com/spreadsheets/d/1bWGR5Y7oTgtZIep2hLdTHG-chM0w9aHBSSpJHwm6lak/edit?usp=sharing"","""&amp;"รวมตะวันออกเฉียงเหนือ!L568"")+IMPORTRANGE(""https://docs.google.com/spreadsheets/d/1dCxWUCc_SKNp-qd8qsaa5pPX_-BuQqWJ_-8FnsS4Ki0/edit?usp=sharing"",""รวมกลาง!L568"")+IMPORTRANGE(""https://docs.google.com/spreadsheets/d/1uOzBKYgpuhMUe0xXQLXSct3xZ80hakAMJHdG"&amp;"Jh9616E/edit?usp=sharing"",""รวมใต้!L568"")"),10021040)</f>
        <v>10021040</v>
      </c>
      <c r="M579" s="165"/>
      <c r="N579" s="165">
        <f ca="1">N580+N581+N582+N583</f>
        <v>4429546.6899999995</v>
      </c>
      <c r="O579" s="165">
        <f t="shared" ca="1" si="139"/>
        <v>44.202464913821316</v>
      </c>
      <c r="P579" s="165"/>
    </row>
    <row r="580" spans="1:16" ht="21.75" customHeight="1" x14ac:dyDescent="0.3">
      <c r="A580" s="375"/>
      <c r="B580" s="376"/>
      <c r="C580" s="159"/>
      <c r="D580" s="377"/>
      <c r="E580" s="167"/>
      <c r="F580" s="167"/>
      <c r="G580" s="378" t="s">
        <v>129</v>
      </c>
      <c r="H580" s="168" t="s">
        <v>12</v>
      </c>
      <c r="I580" s="186"/>
      <c r="J580" s="186"/>
      <c r="K580" s="221"/>
      <c r="L580" s="165"/>
      <c r="M580" s="165"/>
      <c r="N580" s="164">
        <f ca="1">IFERROR(__xludf.DUMMYFUNCTION("IMPORTRANGE(""https://docs.google.com/spreadsheets/d/1yGy89TWty5kAjAO5OL1fLLQ_DL8fVJHFf2LvMm8qymA/edit?usp=sharing"",""รวมเหนือ!N569"")+IMPORTRANGE(""https://docs.google.com/spreadsheets/d/1bWGR5Y7oTgtZIep2hLdTHG-chM0w9aHBSSpJHwm6lak/edit?usp=sharing"","""&amp;"รวมตะวันออกเฉียงเหนือ!N569"")+IMPORTRANGE(""https://docs.google.com/spreadsheets/d/1dCxWUCc_SKNp-qd8qsaa5pPX_-BuQqWJ_-8FnsS4Ki0/edit?usp=sharing"",""รวมกลาง!N569"")+IMPORTRANGE(""https://docs.google.com/spreadsheets/d/1uOzBKYgpuhMUe0xXQLXSct3xZ80hakAMJHdG"&amp;"Jh9616E/edit?usp=sharing"",""รวมใต้!N569"")"),0)</f>
        <v>0</v>
      </c>
      <c r="O580" s="165"/>
      <c r="P580" s="165"/>
    </row>
    <row r="581" spans="1:16" ht="21.75" customHeight="1" x14ac:dyDescent="0.3">
      <c r="A581" s="375"/>
      <c r="B581" s="376"/>
      <c r="C581" s="159"/>
      <c r="D581" s="377"/>
      <c r="E581" s="167"/>
      <c r="F581" s="167"/>
      <c r="G581" s="378" t="s">
        <v>130</v>
      </c>
      <c r="H581" s="168" t="s">
        <v>12</v>
      </c>
      <c r="I581" s="186"/>
      <c r="J581" s="186"/>
      <c r="K581" s="221"/>
      <c r="L581" s="165"/>
      <c r="M581" s="165"/>
      <c r="N581" s="164">
        <f ca="1">IFERROR(__xludf.DUMMYFUNCTION("IMPORTRANGE(""https://docs.google.com/spreadsheets/d/1yGy89TWty5kAjAO5OL1fLLQ_DL8fVJHFf2LvMm8qymA/edit?usp=sharing"",""รวมเหนือ!N570"")+IMPORTRANGE(""https://docs.google.com/spreadsheets/d/1bWGR5Y7oTgtZIep2hLdTHG-chM0w9aHBSSpJHwm6lak/edit?usp=sharing"","""&amp;"รวมตะวันออกเฉียงเหนือ!N570"")+IMPORTRANGE(""https://docs.google.com/spreadsheets/d/1dCxWUCc_SKNp-qd8qsaa5pPX_-BuQqWJ_-8FnsS4Ki0/edit?usp=sharing"",""รวมกลาง!N570"")+IMPORTRANGE(""https://docs.google.com/spreadsheets/d/1uOzBKYgpuhMUe0xXQLXSct3xZ80hakAMJHdG"&amp;"Jh9616E/edit?usp=sharing"",""รวมใต้!N570"")"),0)</f>
        <v>0</v>
      </c>
      <c r="O581" s="165"/>
      <c r="P581" s="165"/>
    </row>
    <row r="582" spans="1:16" ht="21.75" customHeight="1" x14ac:dyDescent="0.3">
      <c r="A582" s="375"/>
      <c r="B582" s="376"/>
      <c r="C582" s="159"/>
      <c r="D582" s="377"/>
      <c r="E582" s="167"/>
      <c r="F582" s="167"/>
      <c r="G582" s="378" t="s">
        <v>131</v>
      </c>
      <c r="H582" s="168" t="s">
        <v>12</v>
      </c>
      <c r="I582" s="186"/>
      <c r="J582" s="186"/>
      <c r="K582" s="221"/>
      <c r="L582" s="165"/>
      <c r="M582" s="165"/>
      <c r="N582" s="164">
        <f ca="1">IFERROR(__xludf.DUMMYFUNCTION("IMPORTRANGE(""https://docs.google.com/spreadsheets/d/1yGy89TWty5kAjAO5OL1fLLQ_DL8fVJHFf2LvMm8qymA/edit?usp=sharing"",""รวมเหนือ!N571"")+IMPORTRANGE(""https://docs.google.com/spreadsheets/d/1bWGR5Y7oTgtZIep2hLdTHG-chM0w9aHBSSpJHwm6lak/edit?usp=sharing"","""&amp;"รวมตะวันออกเฉียงเหนือ!N571"")+IMPORTRANGE(""https://docs.google.com/spreadsheets/d/1dCxWUCc_SKNp-qd8qsaa5pPX_-BuQqWJ_-8FnsS4Ki0/edit?usp=sharing"",""รวมกลาง!N571"")+IMPORTRANGE(""https://docs.google.com/spreadsheets/d/1uOzBKYgpuhMUe0xXQLXSct3xZ80hakAMJHdG"&amp;"Jh9616E/edit?usp=sharing"",""รวมใต้!N571"")"),3192848.32)</f>
        <v>3192848.32</v>
      </c>
      <c r="O582" s="165"/>
      <c r="P582" s="165"/>
    </row>
    <row r="583" spans="1:16" ht="21.75" customHeight="1" x14ac:dyDescent="0.3">
      <c r="A583" s="375"/>
      <c r="B583" s="376"/>
      <c r="C583" s="159"/>
      <c r="D583" s="377"/>
      <c r="E583" s="167"/>
      <c r="F583" s="167"/>
      <c r="G583" s="378" t="s">
        <v>132</v>
      </c>
      <c r="H583" s="168" t="s">
        <v>12</v>
      </c>
      <c r="I583" s="186"/>
      <c r="J583" s="186"/>
      <c r="K583" s="221"/>
      <c r="L583" s="165"/>
      <c r="M583" s="165"/>
      <c r="N583" s="164">
        <f ca="1">IFERROR(__xludf.DUMMYFUNCTION("IMPORTRANGE(""https://docs.google.com/spreadsheets/d/1yGy89TWty5kAjAO5OL1fLLQ_DL8fVJHFf2LvMm8qymA/edit?usp=sharing"",""รวมเหนือ!N572"")+IMPORTRANGE(""https://docs.google.com/spreadsheets/d/1bWGR5Y7oTgtZIep2hLdTHG-chM0w9aHBSSpJHwm6lak/edit?usp=sharing"","""&amp;"รวมตะวันออกเฉียงเหนือ!N572"")+IMPORTRANGE(""https://docs.google.com/spreadsheets/d/1dCxWUCc_SKNp-qd8qsaa5pPX_-BuQqWJ_-8FnsS4Ki0/edit?usp=sharing"",""รวมกลาง!N572"")+IMPORTRANGE(""https://docs.google.com/spreadsheets/d/1uOzBKYgpuhMUe0xXQLXSct3xZ80hakAMJHdG"&amp;"Jh9616E/edit?usp=sharing"",""รวมใต้!N572"")"),1236698.37)</f>
        <v>1236698.3700000001</v>
      </c>
      <c r="O583" s="165"/>
      <c r="P583" s="165"/>
    </row>
    <row r="584" spans="1:16" ht="21.75" customHeight="1" x14ac:dyDescent="0.3">
      <c r="A584" s="174"/>
      <c r="B584" s="175"/>
      <c r="C584" s="175"/>
      <c r="D584" s="194"/>
      <c r="E584" s="193" t="s">
        <v>39</v>
      </c>
      <c r="F584" s="417" t="s">
        <v>208</v>
      </c>
      <c r="G584" s="391"/>
      <c r="H584" s="482" t="s">
        <v>37</v>
      </c>
      <c r="I584" s="426">
        <f ca="1">IFERROR(__xludf.DUMMYFUNCTION("IMPORTRANGE(""https://docs.google.com/spreadsheets/d/1yGy89TWty5kAjAO5OL1fLLQ_DL8fVJHFf2LvMm8qymA/edit?usp=sharing"",""รวมเหนือ!I573"")+IMPORTRANGE(""https://docs.google.com/spreadsheets/d/1bWGR5Y7oTgtZIep2hLdTHG-chM0w9aHBSSpJHwm6lak/edit?usp=sharing"","""&amp;"รวมตะวันออกเฉียงเหนือ!I573"")+IMPORTRANGE(""https://docs.google.com/spreadsheets/d/1dCxWUCc_SKNp-qd8qsaa5pPX_-BuQqWJ_-8FnsS4Ki0/edit?usp=sharing"",""รวมกลาง!I573"")+IMPORTRANGE(""https://docs.google.com/spreadsheets/d/1uOzBKYgpuhMUe0xXQLXSct3xZ80hakAMJHdG"&amp;"Jh9616E/edit?usp=sharing"",""รวมใต้!I573"")"),136000)</f>
        <v>136000</v>
      </c>
      <c r="J584" s="426">
        <f ca="1">IFERROR(__xludf.DUMMYFUNCTION("IMPORTRANGE(""https://docs.google.com/spreadsheets/d/1yGy89TWty5kAjAO5OL1fLLQ_DL8fVJHFf2LvMm8qymA/edit?usp=sharing"",""รวมเหนือ!J573"")+IMPORTRANGE(""https://docs.google.com/spreadsheets/d/1bWGR5Y7oTgtZIep2hLdTHG-chM0w9aHBSSpJHwm6lak/edit?usp=sharing"","""&amp;"รวมตะวันออกเฉียงเหนือ!J573"")+IMPORTRANGE(""https://docs.google.com/spreadsheets/d/1dCxWUCc_SKNp-qd8qsaa5pPX_-BuQqWJ_-8FnsS4Ki0/edit?usp=sharing"",""รวมกลาง!J573"")+IMPORTRANGE(""https://docs.google.com/spreadsheets/d/1uOzBKYgpuhMUe0xXQLXSct3xZ80hakAMJHdG"&amp;"Jh9616E/edit?usp=sharing"",""รวมใต้!J573"")"),150062)</f>
        <v>150062</v>
      </c>
      <c r="K584" s="199">
        <f ca="1">IF(I584&gt;0,J584*100/I584,0)</f>
        <v>110.33970588235294</v>
      </c>
      <c r="L584" s="180"/>
      <c r="M584" s="180"/>
      <c r="N584" s="180"/>
      <c r="O584" s="180"/>
      <c r="P584" s="180"/>
    </row>
    <row r="585" spans="1:16" ht="21.75" customHeight="1" x14ac:dyDescent="0.3">
      <c r="A585" s="174"/>
      <c r="B585" s="175"/>
      <c r="C585" s="175"/>
      <c r="D585" s="194"/>
      <c r="E585" s="194"/>
      <c r="F585" s="193" t="s">
        <v>209</v>
      </c>
      <c r="G585" s="195"/>
      <c r="H585" s="481"/>
      <c r="I585" s="162"/>
      <c r="J585" s="162"/>
      <c r="K585" s="163"/>
      <c r="L585" s="180"/>
      <c r="M585" s="180"/>
      <c r="N585" s="180"/>
      <c r="O585" s="180"/>
      <c r="P585" s="180"/>
    </row>
    <row r="586" spans="1:16" ht="21.75" customHeight="1" x14ac:dyDescent="0.3">
      <c r="A586" s="174"/>
      <c r="B586" s="175"/>
      <c r="C586" s="175"/>
      <c r="D586" s="194"/>
      <c r="E586" s="193" t="s">
        <v>39</v>
      </c>
      <c r="F586" s="193" t="s">
        <v>210</v>
      </c>
      <c r="G586" s="195"/>
      <c r="H586" s="481" t="s">
        <v>74</v>
      </c>
      <c r="I586" s="200">
        <v>0</v>
      </c>
      <c r="J586" s="186">
        <f ca="1">IFERROR(__xludf.DUMMYFUNCTION("IMPORTRANGE(""https://docs.google.com/spreadsheets/d/1yGy89TWty5kAjAO5OL1fLLQ_DL8fVJHFf2LvMm8qymA/edit?usp=sharing"",""รวมเหนือ!J575"")+IMPORTRANGE(""https://docs.google.com/spreadsheets/d/1bWGR5Y7oTgtZIep2hLdTHG-chM0w9aHBSSpJHwm6lak/edit?usp=sharing"","""&amp;"รวมตะวันออกเฉียงเหนือ!J575"")+IMPORTRANGE(""https://docs.google.com/spreadsheets/d/1dCxWUCc_SKNp-qd8qsaa5pPX_-BuQqWJ_-8FnsS4Ki0/edit?usp=sharing"",""รวมกลาง!J575"")+IMPORTRANGE(""https://docs.google.com/spreadsheets/d/1uOzBKYgpuhMUe0xXQLXSct3xZ80hakAMJHdG"&amp;"Jh9616E/edit?usp=sharing"",""รวมใต้!J575"")"),249)</f>
        <v>249</v>
      </c>
      <c r="K586" s="163">
        <f t="shared" ref="K586:K590" si="140">IF(I586&gt;0,J586*100/I586,0)</f>
        <v>0</v>
      </c>
      <c r="L586" s="180"/>
      <c r="M586" s="180"/>
      <c r="N586" s="180"/>
      <c r="O586" s="180"/>
      <c r="P586" s="180"/>
    </row>
    <row r="587" spans="1:16" ht="21.75" customHeight="1" x14ac:dyDescent="0.3">
      <c r="A587" s="174"/>
      <c r="B587" s="175"/>
      <c r="C587" s="175"/>
      <c r="D587" s="194"/>
      <c r="E587" s="194"/>
      <c r="F587" s="193" t="s">
        <v>211</v>
      </c>
      <c r="G587" s="195"/>
      <c r="H587" s="481" t="s">
        <v>37</v>
      </c>
      <c r="I587" s="200">
        <f ca="1">IFERROR(__xludf.DUMMYFUNCTION("IMPORTRANGE(""https://docs.google.com/spreadsheets/d/1yGy89TWty5kAjAO5OL1fLLQ_DL8fVJHFf2LvMm8qymA/edit?usp=sharing"",""รวมเหนือ!I576"")+IMPORTRANGE(""https://docs.google.com/spreadsheets/d/1bWGR5Y7oTgtZIep2hLdTHG-chM0w9aHBSSpJHwm6lak/edit?usp=sharing"","""&amp;"รวมตะวันออกเฉียงเหนือ!I576"")+IMPORTRANGE(""https://docs.google.com/spreadsheets/d/1dCxWUCc_SKNp-qd8qsaa5pPX_-BuQqWJ_-8FnsS4Ki0/edit?usp=sharing"",""รวมกลาง!I576"")+IMPORTRANGE(""https://docs.google.com/spreadsheets/d/1uOzBKYgpuhMUe0xXQLXSct3xZ80hakAMJHdG"&amp;"Jh9616E/edit?usp=sharing"",""รวมใต้!I576"")"),0)</f>
        <v>0</v>
      </c>
      <c r="J587" s="186">
        <f ca="1">IFERROR(__xludf.DUMMYFUNCTION("IMPORTRANGE(""https://docs.google.com/spreadsheets/d/1yGy89TWty5kAjAO5OL1fLLQ_DL8fVJHFf2LvMm8qymA/edit?usp=sharing"",""รวมเหนือ!J576"")+IMPORTRANGE(""https://docs.google.com/spreadsheets/d/1bWGR5Y7oTgtZIep2hLdTHG-chM0w9aHBSSpJHwm6lak/edit?usp=sharing"","""&amp;"รวมตะวันออกเฉียงเหนือ!J576"")+IMPORTRANGE(""https://docs.google.com/spreadsheets/d/1dCxWUCc_SKNp-qd8qsaa5pPX_-BuQqWJ_-8FnsS4Ki0/edit?usp=sharing"",""รวมกลาง!J576"")+IMPORTRANGE(""https://docs.google.com/spreadsheets/d/1uOzBKYgpuhMUe0xXQLXSct3xZ80hakAMJHdG"&amp;"Jh9616E/edit?usp=sharing"",""รวมใต้!J576"")"),13659)</f>
        <v>13659</v>
      </c>
      <c r="K587" s="163">
        <f t="shared" ca="1" si="140"/>
        <v>0</v>
      </c>
      <c r="L587" s="180"/>
      <c r="M587" s="180"/>
      <c r="N587" s="180"/>
      <c r="O587" s="180"/>
      <c r="P587" s="180"/>
    </row>
    <row r="588" spans="1:16" ht="21.75" customHeight="1" x14ac:dyDescent="0.3">
      <c r="A588" s="174"/>
      <c r="B588" s="175"/>
      <c r="C588" s="175"/>
      <c r="D588" s="194"/>
      <c r="E588" s="194"/>
      <c r="F588" s="193" t="s">
        <v>212</v>
      </c>
      <c r="G588" s="195"/>
      <c r="H588" s="481" t="s">
        <v>37</v>
      </c>
      <c r="I588" s="200">
        <v>0</v>
      </c>
      <c r="J588" s="187">
        <f ca="1">IFERROR(__xludf.DUMMYFUNCTION("IMPORTRANGE(""https://docs.google.com/spreadsheets/d/1yGy89TWty5kAjAO5OL1fLLQ_DL8fVJHFf2LvMm8qymA/edit?usp=sharing"",""รวมเหนือ!J577"")+IMPORTRANGE(""https://docs.google.com/spreadsheets/d/1bWGR5Y7oTgtZIep2hLdTHG-chM0w9aHBSSpJHwm6lak/edit?usp=sharing"","""&amp;"รวมตะวันออกเฉียงเหนือ!J577"")+IMPORTRANGE(""https://docs.google.com/spreadsheets/d/1dCxWUCc_SKNp-qd8qsaa5pPX_-BuQqWJ_-8FnsS4Ki0/edit?usp=sharing"",""รวมกลาง!J577"")+IMPORTRANGE(""https://docs.google.com/spreadsheets/d/1uOzBKYgpuhMUe0xXQLXSct3xZ80hakAMJHdG"&amp;"Jh9616E/edit?usp=sharing"",""รวมใต้!J577"")"),135042)</f>
        <v>135042</v>
      </c>
      <c r="K588" s="163">
        <f t="shared" si="140"/>
        <v>0</v>
      </c>
      <c r="L588" s="180"/>
      <c r="M588" s="180"/>
      <c r="N588" s="180"/>
      <c r="O588" s="180"/>
      <c r="P588" s="180"/>
    </row>
    <row r="589" spans="1:16" ht="21.75" customHeight="1" x14ac:dyDescent="0.3">
      <c r="A589" s="174"/>
      <c r="B589" s="175"/>
      <c r="C589" s="175"/>
      <c r="D589" s="194"/>
      <c r="E589" s="194"/>
      <c r="F589" s="193" t="s">
        <v>213</v>
      </c>
      <c r="G589" s="427"/>
      <c r="H589" s="481" t="s">
        <v>37</v>
      </c>
      <c r="I589" s="200">
        <f ca="1">IFERROR(__xludf.DUMMYFUNCTION("IMPORTRANGE(""https://docs.google.com/spreadsheets/d/1yGy89TWty5kAjAO5OL1fLLQ_DL8fVJHFf2LvMm8qymA/edit?usp=sharing"",""รวมเหนือ!I578"")+IMPORTRANGE(""https://docs.google.com/spreadsheets/d/1bWGR5Y7oTgtZIep2hLdTHG-chM0w9aHBSSpJHwm6lak/edit?usp=sharing"","""&amp;"รวมตะวันออกเฉียงเหนือ!I578"")+IMPORTRANGE(""https://docs.google.com/spreadsheets/d/1dCxWUCc_SKNp-qd8qsaa5pPX_-BuQqWJ_-8FnsS4Ki0/edit?usp=sharing"",""รวมกลาง!I578"")+IMPORTRANGE(""https://docs.google.com/spreadsheets/d/1uOzBKYgpuhMUe0xXQLXSct3xZ80hakAMJHdG"&amp;"Jh9616E/edit?usp=sharing"",""รวมใต้!I578"")"),0)</f>
        <v>0</v>
      </c>
      <c r="J589" s="186">
        <f ca="1">IFERROR(__xludf.DUMMYFUNCTION("IMPORTRANGE(""https://docs.google.com/spreadsheets/d/1yGy89TWty5kAjAO5OL1fLLQ_DL8fVJHFf2LvMm8qymA/edit?usp=sharing"",""รวมเหนือ!J578"")+IMPORTRANGE(""https://docs.google.com/spreadsheets/d/1bWGR5Y7oTgtZIep2hLdTHG-chM0w9aHBSSpJHwm6lak/edit?usp=sharing"","""&amp;"รวมตะวันออกเฉียงเหนือ!J578"")+IMPORTRANGE(""https://docs.google.com/spreadsheets/d/1dCxWUCc_SKNp-qd8qsaa5pPX_-BuQqWJ_-8FnsS4Ki0/edit?usp=sharing"",""รวมกลาง!J578"")+IMPORTRANGE(""https://docs.google.com/spreadsheets/d/1uOzBKYgpuhMUe0xXQLXSct3xZ80hakAMJHdG"&amp;"Jh9616E/edit?usp=sharing"",""รวมใต้!J578"")"),211)</f>
        <v>211</v>
      </c>
      <c r="K589" s="163">
        <f t="shared" ca="1" si="140"/>
        <v>0</v>
      </c>
      <c r="L589" s="180"/>
      <c r="M589" s="180"/>
      <c r="N589" s="180"/>
      <c r="O589" s="180"/>
      <c r="P589" s="180"/>
    </row>
    <row r="590" spans="1:16" ht="21.75" customHeight="1" x14ac:dyDescent="0.3">
      <c r="A590" s="174"/>
      <c r="B590" s="175"/>
      <c r="C590" s="175"/>
      <c r="D590" s="194"/>
      <c r="E590" s="194"/>
      <c r="F590" s="193" t="s">
        <v>214</v>
      </c>
      <c r="G590" s="427"/>
      <c r="H590" s="481" t="s">
        <v>37</v>
      </c>
      <c r="I590" s="200">
        <f ca="1">IFERROR(__xludf.DUMMYFUNCTION("IMPORTRANGE(""https://docs.google.com/spreadsheets/d/1yGy89TWty5kAjAO5OL1fLLQ_DL8fVJHFf2LvMm8qymA/edit?usp=sharing"",""รวมเหนือ!I579"")+IMPORTRANGE(""https://docs.google.com/spreadsheets/d/1bWGR5Y7oTgtZIep2hLdTHG-chM0w9aHBSSpJHwm6lak/edit?usp=sharing"","""&amp;"รวมตะวันออกเฉียงเหนือ!I579"")+IMPORTRANGE(""https://docs.google.com/spreadsheets/d/1dCxWUCc_SKNp-qd8qsaa5pPX_-BuQqWJ_-8FnsS4Ki0/edit?usp=sharing"",""รวมกลาง!I579"")+IMPORTRANGE(""https://docs.google.com/spreadsheets/d/1uOzBKYgpuhMUe0xXQLXSct3xZ80hakAMJHdG"&amp;"Jh9616E/edit?usp=sharing"",""รวมใต้!I579"")"),0)</f>
        <v>0</v>
      </c>
      <c r="J590" s="186">
        <f ca="1">IFERROR(__xludf.DUMMYFUNCTION("IMPORTRANGE(""https://docs.google.com/spreadsheets/d/1yGy89TWty5kAjAO5OL1fLLQ_DL8fVJHFf2LvMm8qymA/edit?usp=sharing"",""รวมเหนือ!J579"")+IMPORTRANGE(""https://docs.google.com/spreadsheets/d/1bWGR5Y7oTgtZIep2hLdTHG-chM0w9aHBSSpJHwm6lak/edit?usp=sharing"","""&amp;"รวมตะวันออกเฉียงเหนือ!J579"")+IMPORTRANGE(""https://docs.google.com/spreadsheets/d/1dCxWUCc_SKNp-qd8qsaa5pPX_-BuQqWJ_-8FnsS4Ki0/edit?usp=sharing"",""รวมกลาง!J579"")+IMPORTRANGE(""https://docs.google.com/spreadsheets/d/1uOzBKYgpuhMUe0xXQLXSct3xZ80hakAMJHdG"&amp;"Jh9616E/edit?usp=sharing"",""รวมใต้!J579"")"),1150)</f>
        <v>1150</v>
      </c>
      <c r="K590" s="163">
        <f t="shared" ca="1" si="140"/>
        <v>0</v>
      </c>
      <c r="L590" s="180"/>
      <c r="M590" s="180"/>
      <c r="N590" s="180"/>
      <c r="O590" s="180"/>
      <c r="P590" s="180"/>
    </row>
    <row r="591" spans="1:16" ht="21.75" customHeight="1" x14ac:dyDescent="0.3">
      <c r="A591" s="366"/>
      <c r="B591" s="367">
        <v>9</v>
      </c>
      <c r="C591" s="483" t="s">
        <v>215</v>
      </c>
      <c r="D591" s="368"/>
      <c r="E591" s="368"/>
      <c r="F591" s="368"/>
      <c r="G591" s="369"/>
      <c r="H591" s="370" t="s">
        <v>37</v>
      </c>
      <c r="I591" s="371">
        <f ca="1">IFERROR(__xludf.DUMMYFUNCTION("IMPORTRANGE(""https://docs.google.com/spreadsheets/d/1-fhVXPMm30suWK0-eslVgeT9cTVfCsDeUsq7Bk5UZE8/edit?usp=sharing"",""ทั้งประเทศ!I475"")"),15000)</f>
        <v>15000</v>
      </c>
      <c r="J591" s="371">
        <f ca="1">IFERROR(__xludf.DUMMYFUNCTION("IMPORTRANGE(""https://docs.google.com/spreadsheets/d/1yGy89TWty5kAjAO5OL1fLLQ_DL8fVJHFf2LvMm8qymA/edit?usp=sharing"",""รวมเหนือ!J580"")+IMPORTRANGE(""https://docs.google.com/spreadsheets/d/1bWGR5Y7oTgtZIep2hLdTHG-chM0w9aHBSSpJHwm6lak/edit?usp=sharing"","""&amp;"รวมตะวันออกเฉียงเหนือ!J580"")+IMPORTRANGE(""https://docs.google.com/spreadsheets/d/1dCxWUCc_SKNp-qd8qsaa5pPX_-BuQqWJ_-8FnsS4Ki0/edit?usp=sharing"",""รวมกลาง!J580"")+IMPORTRANGE(""https://docs.google.com/spreadsheets/d/1uOzBKYgpuhMUe0xXQLXSct3xZ80hakAMJHdG"&amp;"Jh9616E/edit?usp=sharing"",""รวมใต้!J580"")"),271)</f>
        <v>271</v>
      </c>
      <c r="K591" s="372">
        <f ca="1">IF(I591&gt;0,J591*100/I591,0)</f>
        <v>1.8066666666666666</v>
      </c>
      <c r="L591" s="373">
        <f ca="1">IFERROR(__xludf.DUMMYFUNCTION("IMPORTRANGE(""https://docs.google.com/spreadsheets/d/1-fhVXPMm30suWK0-eslVgeT9cTVfCsDeUsq7Bk5UZE8/edit?usp=sharing"",""ทั้งประเทศ!L475"")"),35378800)</f>
        <v>35378800</v>
      </c>
      <c r="M591" s="373"/>
      <c r="N591" s="373">
        <f ca="1">N592+N593</f>
        <v>3818225.05</v>
      </c>
      <c r="O591" s="373">
        <f t="shared" ref="O591:O595" ca="1" si="141">+IF(L591&gt;0,N591*100/L591,0)</f>
        <v>10.792409719945278</v>
      </c>
      <c r="P591" s="373"/>
    </row>
    <row r="592" spans="1:16" ht="21.75" customHeight="1" x14ac:dyDescent="0.3">
      <c r="A592" s="158"/>
      <c r="B592" s="159"/>
      <c r="C592" s="159" t="s">
        <v>16</v>
      </c>
      <c r="D592" s="274" t="s">
        <v>75</v>
      </c>
      <c r="E592" s="167"/>
      <c r="F592" s="167"/>
      <c r="G592" s="374" t="s">
        <v>38</v>
      </c>
      <c r="H592" s="168" t="s">
        <v>12</v>
      </c>
      <c r="I592" s="162" t="s">
        <v>39</v>
      </c>
      <c r="J592" s="162"/>
      <c r="K592" s="163"/>
      <c r="L592" s="275">
        <f ca="1">IFERROR(__xludf.DUMMYFUNCTION("IMPORTRANGE(""https://docs.google.com/spreadsheets/d/1-fhVXPMm30suWK0-eslVgeT9cTVfCsDeUsq7Bk5UZE8/edit?usp=sharing"",""ทั้งประเทศ!L476"")"),24846983)</f>
        <v>24846983</v>
      </c>
      <c r="M592" s="275"/>
      <c r="N592" s="276">
        <f ca="1">IFERROR(__xludf.DUMMYFUNCTION("IMPORTRANGE(""https://docs.google.com/spreadsheets/d/1-fhVXPMm30suWK0-eslVgeT9cTVfCsDeUsq7Bk5UZE8/edit?usp=sharing"",""ทั้งประเทศ!M476"")"),778402.74)</f>
        <v>778402.74</v>
      </c>
      <c r="O592" s="276">
        <f t="shared" ca="1" si="141"/>
        <v>3.1327857390170872</v>
      </c>
      <c r="P592" s="165"/>
    </row>
    <row r="593" spans="1:16" ht="21.75" customHeight="1" x14ac:dyDescent="0.3">
      <c r="A593" s="158"/>
      <c r="B593" s="159"/>
      <c r="C593" s="159"/>
      <c r="D593" s="166"/>
      <c r="E593" s="167"/>
      <c r="F593" s="167" t="s">
        <v>39</v>
      </c>
      <c r="G593" s="374" t="s">
        <v>40</v>
      </c>
      <c r="H593" s="168" t="s">
        <v>12</v>
      </c>
      <c r="I593" s="162"/>
      <c r="J593" s="162"/>
      <c r="K593" s="163"/>
      <c r="L593" s="276">
        <f ca="1">L594+L595</f>
        <v>10531817</v>
      </c>
      <c r="M593" s="276"/>
      <c r="N593" s="276">
        <f ca="1">N594+N595</f>
        <v>3039822.31</v>
      </c>
      <c r="O593" s="276">
        <f t="shared" ca="1" si="141"/>
        <v>28.863227589313411</v>
      </c>
      <c r="P593" s="165"/>
    </row>
    <row r="594" spans="1:16" ht="21.75" customHeight="1" x14ac:dyDescent="0.4">
      <c r="A594" s="158"/>
      <c r="B594" s="159"/>
      <c r="C594" s="159"/>
      <c r="D594" s="166"/>
      <c r="E594" s="167"/>
      <c r="F594" s="167"/>
      <c r="G594" s="34" t="s">
        <v>21</v>
      </c>
      <c r="H594" s="168" t="s">
        <v>12</v>
      </c>
      <c r="I594" s="162"/>
      <c r="J594" s="162"/>
      <c r="K594" s="163"/>
      <c r="L594" s="165">
        <f ca="1">IFERROR(__xludf.DUMMYFUNCTION("IMPORTRANGE(""https://docs.google.com/spreadsheets/d/1yGy89TWty5kAjAO5OL1fLLQ_DL8fVJHFf2LvMm8qymA/edit?usp=sharing"",""รวมเหนือ!L583"")+IMPORTRANGE(""https://docs.google.com/spreadsheets/d/1bWGR5Y7oTgtZIep2hLdTHG-chM0w9aHBSSpJHwm6lak/edit?usp=sharing"","""&amp;"รวมตะวันออกเฉียงเหนือ!L583"")+IMPORTRANGE(""https://docs.google.com/spreadsheets/d/1dCxWUCc_SKNp-qd8qsaa5pPX_-BuQqWJ_-8FnsS4Ki0/edit?usp=sharing"",""รวมกลาง!L583"")+IMPORTRANGE(""https://docs.google.com/spreadsheets/d/1uOzBKYgpuhMUe0xXQLXSct3xZ80hakAMJHdG"&amp;"Jh9616E/edit?usp=sharing"",""รวมใต้!L583"")"),0)</f>
        <v>0</v>
      </c>
      <c r="M594" s="165"/>
      <c r="N594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594" s="165">
        <f t="shared" ca="1" si="141"/>
        <v>0</v>
      </c>
      <c r="P594" s="165"/>
    </row>
    <row r="595" spans="1:16" ht="21.75" customHeight="1" x14ac:dyDescent="0.4">
      <c r="A595" s="158"/>
      <c r="B595" s="159"/>
      <c r="C595" s="159"/>
      <c r="D595" s="166"/>
      <c r="E595" s="167"/>
      <c r="F595" s="167"/>
      <c r="G595" s="34" t="s">
        <v>22</v>
      </c>
      <c r="H595" s="168" t="s">
        <v>12</v>
      </c>
      <c r="I595" s="162"/>
      <c r="J595" s="162"/>
      <c r="K595" s="163"/>
      <c r="L595" s="165">
        <f ca="1">IFERROR(__xludf.DUMMYFUNCTION("IMPORTRANGE(""https://docs.google.com/spreadsheets/d/1yGy89TWty5kAjAO5OL1fLLQ_DL8fVJHFf2LvMm8qymA/edit?usp=sharing"",""รวมเหนือ!L584"")+IMPORTRANGE(""https://docs.google.com/spreadsheets/d/1bWGR5Y7oTgtZIep2hLdTHG-chM0w9aHBSSpJHwm6lak/edit?usp=sharing"","""&amp;"รวมตะวันออกเฉียงเหนือ!L584"")+IMPORTRANGE(""https://docs.google.com/spreadsheets/d/1dCxWUCc_SKNp-qd8qsaa5pPX_-BuQqWJ_-8FnsS4Ki0/edit?usp=sharing"",""รวมกลาง!L584"")+IMPORTRANGE(""https://docs.google.com/spreadsheets/d/1uOzBKYgpuhMUe0xXQLXSct3xZ80hakAMJHdG"&amp;"Jh9616E/edit?usp=sharing"",""รวมใต้!L584"")"),10531817)</f>
        <v>10531817</v>
      </c>
      <c r="M595" s="165"/>
      <c r="N595" s="165">
        <f ca="1">N596+N597+N598+N599</f>
        <v>3039822.31</v>
      </c>
      <c r="O595" s="165">
        <f t="shared" ca="1" si="141"/>
        <v>28.863227589313411</v>
      </c>
      <c r="P595" s="165"/>
    </row>
    <row r="596" spans="1:16" ht="21.75" customHeight="1" x14ac:dyDescent="0.3">
      <c r="A596" s="375"/>
      <c r="B596" s="376"/>
      <c r="C596" s="159"/>
      <c r="D596" s="377"/>
      <c r="E596" s="167"/>
      <c r="F596" s="167"/>
      <c r="G596" s="378" t="s">
        <v>129</v>
      </c>
      <c r="H596" s="168" t="s">
        <v>12</v>
      </c>
      <c r="I596" s="186"/>
      <c r="J596" s="186"/>
      <c r="K596" s="221"/>
      <c r="L596" s="165"/>
      <c r="M596" s="165"/>
      <c r="N596" s="164">
        <f ca="1">IFERROR(__xludf.DUMMYFUNCTION("IMPORTRANGE(""https://docs.google.com/spreadsheets/d/1yGy89TWty5kAjAO5OL1fLLQ_DL8fVJHFf2LvMm8qymA/edit?usp=sharing"",""รวมเหนือ!N585"")+IMPORTRANGE(""https://docs.google.com/spreadsheets/d/1bWGR5Y7oTgtZIep2hLdTHG-chM0w9aHBSSpJHwm6lak/edit?usp=sharing"","""&amp;"รวมตะวันออกเฉียงเหนือ!N585"")+IMPORTRANGE(""https://docs.google.com/spreadsheets/d/1dCxWUCc_SKNp-qd8qsaa5pPX_-BuQqWJ_-8FnsS4Ki0/edit?usp=sharing"",""รวมกลาง!N585"")+IMPORTRANGE(""https://docs.google.com/spreadsheets/d/1uOzBKYgpuhMUe0xXQLXSct3xZ80hakAMJHdG"&amp;"Jh9616E/edit?usp=sharing"",""รวมใต้!N585"")"),0)</f>
        <v>0</v>
      </c>
      <c r="O596" s="165"/>
      <c r="P596" s="165"/>
    </row>
    <row r="597" spans="1:16" ht="21.75" customHeight="1" x14ac:dyDescent="0.3">
      <c r="A597" s="375"/>
      <c r="B597" s="376"/>
      <c r="C597" s="159"/>
      <c r="D597" s="377"/>
      <c r="E597" s="167"/>
      <c r="F597" s="167"/>
      <c r="G597" s="378" t="s">
        <v>130</v>
      </c>
      <c r="H597" s="168" t="s">
        <v>12</v>
      </c>
      <c r="I597" s="186"/>
      <c r="J597" s="186"/>
      <c r="K597" s="221"/>
      <c r="L597" s="165"/>
      <c r="M597" s="165"/>
      <c r="N597" s="164">
        <f ca="1">IFERROR(__xludf.DUMMYFUNCTION("IMPORTRANGE(""https://docs.google.com/spreadsheets/d/1yGy89TWty5kAjAO5OL1fLLQ_DL8fVJHFf2LvMm8qymA/edit?usp=sharing"",""รวมเหนือ!N586"")+IMPORTRANGE(""https://docs.google.com/spreadsheets/d/1bWGR5Y7oTgtZIep2hLdTHG-chM0w9aHBSSpJHwm6lak/edit?usp=sharing"","""&amp;"รวมตะวันออกเฉียงเหนือ!N586"")+IMPORTRANGE(""https://docs.google.com/spreadsheets/d/1dCxWUCc_SKNp-qd8qsaa5pPX_-BuQqWJ_-8FnsS4Ki0/edit?usp=sharing"",""รวมกลาง!N586"")+IMPORTRANGE(""https://docs.google.com/spreadsheets/d/1uOzBKYgpuhMUe0xXQLXSct3xZ80hakAMJHdG"&amp;"Jh9616E/edit?usp=sharing"",""รวมใต้!N586"")"),0)</f>
        <v>0</v>
      </c>
      <c r="O597" s="165"/>
      <c r="P597" s="165"/>
    </row>
    <row r="598" spans="1:16" ht="21.75" customHeight="1" x14ac:dyDescent="0.3">
      <c r="A598" s="375"/>
      <c r="B598" s="376"/>
      <c r="C598" s="159"/>
      <c r="D598" s="377"/>
      <c r="E598" s="167"/>
      <c r="F598" s="167"/>
      <c r="G598" s="378" t="s">
        <v>131</v>
      </c>
      <c r="H598" s="168" t="s">
        <v>12</v>
      </c>
      <c r="I598" s="186"/>
      <c r="J598" s="186"/>
      <c r="K598" s="221"/>
      <c r="L598" s="165"/>
      <c r="M598" s="165"/>
      <c r="N598" s="164">
        <f ca="1">IFERROR(__xludf.DUMMYFUNCTION("IMPORTRANGE(""https://docs.google.com/spreadsheets/d/1yGy89TWty5kAjAO5OL1fLLQ_DL8fVJHFf2LvMm8qymA/edit?usp=sharing"",""รวมเหนือ!N587"")+IMPORTRANGE(""https://docs.google.com/spreadsheets/d/1bWGR5Y7oTgtZIep2hLdTHG-chM0w9aHBSSpJHwm6lak/edit?usp=sharing"","""&amp;"รวมตะวันออกเฉียงเหนือ!N587"")+IMPORTRANGE(""https://docs.google.com/spreadsheets/d/1dCxWUCc_SKNp-qd8qsaa5pPX_-BuQqWJ_-8FnsS4Ki0/edit?usp=sharing"",""รวมกลาง!N587"")+IMPORTRANGE(""https://docs.google.com/spreadsheets/d/1uOzBKYgpuhMUe0xXQLXSct3xZ80hakAMJHdG"&amp;"Jh9616E/edit?usp=sharing"",""รวมใต้!N587"")"),1149784.83)</f>
        <v>1149784.83</v>
      </c>
      <c r="O598" s="165"/>
      <c r="P598" s="165"/>
    </row>
    <row r="599" spans="1:16" ht="21.75" customHeight="1" x14ac:dyDescent="0.3">
      <c r="A599" s="375"/>
      <c r="B599" s="376"/>
      <c r="C599" s="159"/>
      <c r="D599" s="377"/>
      <c r="E599" s="167"/>
      <c r="F599" s="167"/>
      <c r="G599" s="378" t="s">
        <v>132</v>
      </c>
      <c r="H599" s="168" t="s">
        <v>12</v>
      </c>
      <c r="I599" s="186"/>
      <c r="J599" s="186"/>
      <c r="K599" s="221"/>
      <c r="L599" s="165"/>
      <c r="M599" s="165"/>
      <c r="N599" s="164">
        <f ca="1">IFERROR(__xludf.DUMMYFUNCTION("IMPORTRANGE(""https://docs.google.com/spreadsheets/d/1yGy89TWty5kAjAO5OL1fLLQ_DL8fVJHFf2LvMm8qymA/edit?usp=sharing"",""รวมเหนือ!N588"")+IMPORTRANGE(""https://docs.google.com/spreadsheets/d/1bWGR5Y7oTgtZIep2hLdTHG-chM0w9aHBSSpJHwm6lak/edit?usp=sharing"","""&amp;"รวมตะวันออกเฉียงเหนือ!N588"")+IMPORTRANGE(""https://docs.google.com/spreadsheets/d/1dCxWUCc_SKNp-qd8qsaa5pPX_-BuQqWJ_-8FnsS4Ki0/edit?usp=sharing"",""รวมกลาง!N588"")+IMPORTRANGE(""https://docs.google.com/spreadsheets/d/1uOzBKYgpuhMUe0xXQLXSct3xZ80hakAMJHdG"&amp;"Jh9616E/edit?usp=sharing"",""รวมใต้!N588"")"),1890037.48)</f>
        <v>1890037.48</v>
      </c>
      <c r="O599" s="165"/>
      <c r="P599" s="165"/>
    </row>
    <row r="600" spans="1:16" ht="21.75" customHeight="1" x14ac:dyDescent="0.3">
      <c r="A600" s="484"/>
      <c r="B600" s="166"/>
      <c r="C600" s="159"/>
      <c r="D600" s="291"/>
      <c r="E600" s="193" t="s">
        <v>216</v>
      </c>
      <c r="F600" s="194"/>
      <c r="G600" s="195"/>
      <c r="H600" s="179" t="s">
        <v>36</v>
      </c>
      <c r="I600" s="340">
        <f ca="1">IFERROR(__xludf.DUMMYFUNCTION("IMPORTRANGE(""https://docs.google.com/spreadsheets/d/1yGy89TWty5kAjAO5OL1fLLQ_DL8fVJHFf2LvMm8qymA/edit?usp=sharing"",""รวมเหนือ!I589"")+IMPORTRANGE(""https://docs.google.com/spreadsheets/d/1bWGR5Y7oTgtZIep2hLdTHG-chM0w9aHBSSpJHwm6lak/edit?usp=sharing"","""&amp;"รวมตะวันออกเฉียงเหนือ!I589"")+IMPORTRANGE(""https://docs.google.com/spreadsheets/d/1dCxWUCc_SKNp-qd8qsaa5pPX_-BuQqWJ_-8FnsS4Ki0/edit?usp=sharing"",""รวมกลาง!I589"")+IMPORTRANGE(""https://docs.google.com/spreadsheets/d/1uOzBKYgpuhMUe0xXQLXSct3xZ80hakAMJHdG"&amp;"Jh9616E/edit?usp=sharing"",""รวมใต้!I589"")"),6565)</f>
        <v>6565</v>
      </c>
      <c r="J600" s="186">
        <f ca="1">IFERROR(__xludf.DUMMYFUNCTION("IMPORTRANGE(""https://docs.google.com/spreadsheets/d/1yGy89TWty5kAjAO5OL1fLLQ_DL8fVJHFf2LvMm8qymA/edit?usp=sharing"",""รวมเหนือ!J589"")+IMPORTRANGE(""https://docs.google.com/spreadsheets/d/1bWGR5Y7oTgtZIep2hLdTHG-chM0w9aHBSSpJHwm6lak/edit?usp=sharing"","""&amp;"รวมตะวันออกเฉียงเหนือ!J589"")+IMPORTRANGE(""https://docs.google.com/spreadsheets/d/1dCxWUCc_SKNp-qd8qsaa5pPX_-BuQqWJ_-8FnsS4Ki0/edit?usp=sharing"",""รวมกลาง!J589"")+IMPORTRANGE(""https://docs.google.com/spreadsheets/d/1uOzBKYgpuhMUe0xXQLXSct3xZ80hakAMJHdG"&amp;"Jh9616E/edit?usp=sharing"",""รวมใต้!J589"")"),3025)</f>
        <v>3025</v>
      </c>
      <c r="K600" s="163">
        <f t="shared" ref="K600:K607" ca="1" si="142">IF(I600&gt;0,J600*100/I600,0)</f>
        <v>46.077684691546075</v>
      </c>
      <c r="L600" s="180"/>
      <c r="M600" s="180"/>
      <c r="N600" s="165"/>
      <c r="O600" s="180"/>
      <c r="P600" s="180"/>
    </row>
    <row r="601" spans="1:16" ht="21.75" customHeight="1" x14ac:dyDescent="0.3">
      <c r="A601" s="484"/>
      <c r="B601" s="166"/>
      <c r="C601" s="159"/>
      <c r="D601" s="291"/>
      <c r="E601" s="194"/>
      <c r="F601" s="194"/>
      <c r="G601" s="195"/>
      <c r="H601" s="179" t="s">
        <v>121</v>
      </c>
      <c r="I601" s="344">
        <f ca="1">IFERROR(__xludf.DUMMYFUNCTION("IMPORTRANGE(""https://docs.google.com/spreadsheets/d/1yGy89TWty5kAjAO5OL1fLLQ_DL8fVJHFf2LvMm8qymA/edit?usp=sharing"",""รวมเหนือ!I590"")+IMPORTRANGE(""https://docs.google.com/spreadsheets/d/1bWGR5Y7oTgtZIep2hLdTHG-chM0w9aHBSSpJHwm6lak/edit?usp=sharing"","""&amp;"รวมตะวันออกเฉียงเหนือ!I590"")+IMPORTRANGE(""https://docs.google.com/spreadsheets/d/1dCxWUCc_SKNp-qd8qsaa5pPX_-BuQqWJ_-8FnsS4Ki0/edit?usp=sharing"",""รวมกลาง!I590"")+IMPORTRANGE(""https://docs.google.com/spreadsheets/d/1uOzBKYgpuhMUe0xXQLXSct3xZ80hakAMJHdG"&amp;"Jh9616E/edit?usp=sharing"",""รวมใต้!I590"")"),0)</f>
        <v>0</v>
      </c>
      <c r="J601" s="186">
        <f ca="1">IFERROR(__xludf.DUMMYFUNCTION("IMPORTRANGE(""https://docs.google.com/spreadsheets/d/1yGy89TWty5kAjAO5OL1fLLQ_DL8fVJHFf2LvMm8qymA/edit?usp=sharing"",""รวมเหนือ!J590"")+IMPORTRANGE(""https://docs.google.com/spreadsheets/d/1bWGR5Y7oTgtZIep2hLdTHG-chM0w9aHBSSpJHwm6lak/edit?usp=sharing"","""&amp;"รวมตะวันออกเฉียงเหนือ!J590"")+IMPORTRANGE(""https://docs.google.com/spreadsheets/d/1dCxWUCc_SKNp-qd8qsaa5pPX_-BuQqWJ_-8FnsS4Ki0/edit?usp=sharing"",""รวมกลาง!J590"")+IMPORTRANGE(""https://docs.google.com/spreadsheets/d/1uOzBKYgpuhMUe0xXQLXSct3xZ80hakAMJHdG"&amp;"Jh9616E/edit?usp=sharing"",""รวมใต้!J590"")"),1756.22)</f>
        <v>1756.22</v>
      </c>
      <c r="K601" s="485">
        <f t="shared" ca="1" si="142"/>
        <v>0</v>
      </c>
      <c r="L601" s="180"/>
      <c r="M601" s="180"/>
      <c r="N601" s="165"/>
      <c r="O601" s="180"/>
      <c r="P601" s="180"/>
    </row>
    <row r="602" spans="1:16" ht="21.75" customHeight="1" x14ac:dyDescent="0.3">
      <c r="A602" s="484"/>
      <c r="B602" s="166"/>
      <c r="C602" s="159"/>
      <c r="D602" s="291"/>
      <c r="E602" s="193" t="s">
        <v>122</v>
      </c>
      <c r="F602" s="194"/>
      <c r="G602" s="195"/>
      <c r="H602" s="179" t="s">
        <v>37</v>
      </c>
      <c r="I602" s="340">
        <f ca="1">IFERROR(__xludf.DUMMYFUNCTION("IMPORTRANGE(""https://docs.google.com/spreadsheets/d/1yGy89TWty5kAjAO5OL1fLLQ_DL8fVJHFf2LvMm8qymA/edit?usp=sharing"",""รวมเหนือ!I591"")+IMPORTRANGE(""https://docs.google.com/spreadsheets/d/1bWGR5Y7oTgtZIep2hLdTHG-chM0w9aHBSSpJHwm6lak/edit?usp=sharing"","""&amp;"รวมตะวันออกเฉียงเหนือ!I591"")+IMPORTRANGE(""https://docs.google.com/spreadsheets/d/1dCxWUCc_SKNp-qd8qsaa5pPX_-BuQqWJ_-8FnsS4Ki0/edit?usp=sharing"",""รวมกลาง!I591"")+IMPORTRANGE(""https://docs.google.com/spreadsheets/d/1uOzBKYgpuhMUe0xXQLXSct3xZ80hakAMJHdG"&amp;"Jh9616E/edit?usp=sharing"",""รวมใต้!I591"")"),6565)</f>
        <v>6565</v>
      </c>
      <c r="J602" s="186">
        <f ca="1">IFERROR(__xludf.DUMMYFUNCTION("IMPORTRANGE(""https://docs.google.com/spreadsheets/d/1yGy89TWty5kAjAO5OL1fLLQ_DL8fVJHFf2LvMm8qymA/edit?usp=sharing"",""รวมเหนือ!J591"")+IMPORTRANGE(""https://docs.google.com/spreadsheets/d/1bWGR5Y7oTgtZIep2hLdTHG-chM0w9aHBSSpJHwm6lak/edit?usp=sharing"","""&amp;"รวมตะวันออกเฉียงเหนือ!J591"")+IMPORTRANGE(""https://docs.google.com/spreadsheets/d/1dCxWUCc_SKNp-qd8qsaa5pPX_-BuQqWJ_-8FnsS4Ki0/edit?usp=sharing"",""รวมกลาง!J591"")+IMPORTRANGE(""https://docs.google.com/spreadsheets/d/1uOzBKYgpuhMUe0xXQLXSct3xZ80hakAMJHdG"&amp;"Jh9616E/edit?usp=sharing"",""รวมใต้!J591"")"),1515)</f>
        <v>1515</v>
      </c>
      <c r="K602" s="163">
        <f t="shared" ca="1" si="142"/>
        <v>23.076923076923077</v>
      </c>
      <c r="L602" s="180"/>
      <c r="M602" s="180"/>
      <c r="N602" s="180"/>
      <c r="O602" s="180"/>
      <c r="P602" s="180"/>
    </row>
    <row r="603" spans="1:16" ht="21.75" customHeight="1" x14ac:dyDescent="0.3">
      <c r="A603" s="484"/>
      <c r="B603" s="166"/>
      <c r="C603" s="159"/>
      <c r="D603" s="291"/>
      <c r="E603" s="194"/>
      <c r="F603" s="194"/>
      <c r="G603" s="195"/>
      <c r="H603" s="179" t="s">
        <v>121</v>
      </c>
      <c r="I603" s="344">
        <f ca="1">IFERROR(__xludf.DUMMYFUNCTION("IMPORTRANGE(""https://docs.google.com/spreadsheets/d/1yGy89TWty5kAjAO5OL1fLLQ_DL8fVJHFf2LvMm8qymA/edit?usp=sharing"",""รวมเหนือ!I592"")+IMPORTRANGE(""https://docs.google.com/spreadsheets/d/1bWGR5Y7oTgtZIep2hLdTHG-chM0w9aHBSSpJHwm6lak/edit?usp=sharing"","""&amp;"รวมตะวันออกเฉียงเหนือ!I592"")+IMPORTRANGE(""https://docs.google.com/spreadsheets/d/1dCxWUCc_SKNp-qd8qsaa5pPX_-BuQqWJ_-8FnsS4Ki0/edit?usp=sharing"",""รวมกลาง!I592"")+IMPORTRANGE(""https://docs.google.com/spreadsheets/d/1uOzBKYgpuhMUe0xXQLXSct3xZ80hakAMJHdG"&amp;"Jh9616E/edit?usp=sharing"",""รวมใต้!I592"")"),0)</f>
        <v>0</v>
      </c>
      <c r="J603" s="186">
        <f ca="1">IFERROR(__xludf.DUMMYFUNCTION("IMPORTRANGE(""https://docs.google.com/spreadsheets/d/1yGy89TWty5kAjAO5OL1fLLQ_DL8fVJHFf2LvMm8qymA/edit?usp=sharing"",""รวมเหนือ!J592"")+IMPORTRANGE(""https://docs.google.com/spreadsheets/d/1bWGR5Y7oTgtZIep2hLdTHG-chM0w9aHBSSpJHwm6lak/edit?usp=sharing"","""&amp;"รวมตะวันออกเฉียงเหนือ!J592"")+IMPORTRANGE(""https://docs.google.com/spreadsheets/d/1dCxWUCc_SKNp-qd8qsaa5pPX_-BuQqWJ_-8FnsS4Ki0/edit?usp=sharing"",""รวมกลาง!J592"")+IMPORTRANGE(""https://docs.google.com/spreadsheets/d/1uOzBKYgpuhMUe0xXQLXSct3xZ80hakAMJHdG"&amp;"Jh9616E/edit?usp=sharing"",""รวมใต้!J592"")"),878.13)</f>
        <v>878.13</v>
      </c>
      <c r="K603" s="341">
        <f t="shared" ca="1" si="142"/>
        <v>0</v>
      </c>
      <c r="L603" s="180"/>
      <c r="M603" s="180"/>
      <c r="N603" s="180"/>
      <c r="O603" s="180"/>
      <c r="P603" s="180"/>
    </row>
    <row r="604" spans="1:16" ht="21.75" customHeight="1" x14ac:dyDescent="0.3">
      <c r="A604" s="484"/>
      <c r="B604" s="166"/>
      <c r="C604" s="159"/>
      <c r="D604" s="291"/>
      <c r="E604" s="193" t="s">
        <v>123</v>
      </c>
      <c r="F604" s="194"/>
      <c r="G604" s="195"/>
      <c r="H604" s="179" t="s">
        <v>37</v>
      </c>
      <c r="I604" s="340">
        <f ca="1">IFERROR(__xludf.DUMMYFUNCTION("IMPORTRANGE(""https://docs.google.com/spreadsheets/d/1yGy89TWty5kAjAO5OL1fLLQ_DL8fVJHFf2LvMm8qymA/edit?usp=sharing"",""รวมเหนือ!I593"")+IMPORTRANGE(""https://docs.google.com/spreadsheets/d/1bWGR5Y7oTgtZIep2hLdTHG-chM0w9aHBSSpJHwm6lak/edit?usp=sharing"","""&amp;"รวมตะวันออกเฉียงเหนือ!I593"")+IMPORTRANGE(""https://docs.google.com/spreadsheets/d/1dCxWUCc_SKNp-qd8qsaa5pPX_-BuQqWJ_-8FnsS4Ki0/edit?usp=sharing"",""รวมกลาง!I593"")+IMPORTRANGE(""https://docs.google.com/spreadsheets/d/1uOzBKYgpuhMUe0xXQLXSct3xZ80hakAMJHdG"&amp;"Jh9616E/edit?usp=sharing"",""รวมใต้!I593"")"),6565)</f>
        <v>6565</v>
      </c>
      <c r="J604" s="186">
        <f ca="1">IFERROR(__xludf.DUMMYFUNCTION("IMPORTRANGE(""https://docs.google.com/spreadsheets/d/1yGy89TWty5kAjAO5OL1fLLQ_DL8fVJHFf2LvMm8qymA/edit?usp=sharing"",""รวมเหนือ!J593"")+IMPORTRANGE(""https://docs.google.com/spreadsheets/d/1bWGR5Y7oTgtZIep2hLdTHG-chM0w9aHBSSpJHwm6lak/edit?usp=sharing"","""&amp;"รวมตะวันออกเฉียงเหนือ!J593"")+IMPORTRANGE(""https://docs.google.com/spreadsheets/d/1dCxWUCc_SKNp-qd8qsaa5pPX_-BuQqWJ_-8FnsS4Ki0/edit?usp=sharing"",""รวมกลาง!J593"")+IMPORTRANGE(""https://docs.google.com/spreadsheets/d/1uOzBKYgpuhMUe0xXQLXSct3xZ80hakAMJHdG"&amp;"Jh9616E/edit?usp=sharing"",""รวมใต้!J593"")"),358)</f>
        <v>358</v>
      </c>
      <c r="K604" s="163">
        <f t="shared" ca="1" si="142"/>
        <v>5.4531607006854532</v>
      </c>
      <c r="L604" s="180"/>
      <c r="M604" s="180"/>
      <c r="N604" s="180"/>
      <c r="O604" s="180"/>
      <c r="P604" s="180"/>
    </row>
    <row r="605" spans="1:16" ht="21.75" customHeight="1" x14ac:dyDescent="0.3">
      <c r="A605" s="484"/>
      <c r="B605" s="166"/>
      <c r="C605" s="159"/>
      <c r="D605" s="291"/>
      <c r="E605" s="194"/>
      <c r="F605" s="194"/>
      <c r="G605" s="195"/>
      <c r="H605" s="179" t="s">
        <v>121</v>
      </c>
      <c r="I605" s="344">
        <f ca="1">IFERROR(__xludf.DUMMYFUNCTION("IMPORTRANGE(""https://docs.google.com/spreadsheets/d/1yGy89TWty5kAjAO5OL1fLLQ_DL8fVJHFf2LvMm8qymA/edit?usp=sharing"",""รวมเหนือ!I594"")+IMPORTRANGE(""https://docs.google.com/spreadsheets/d/1bWGR5Y7oTgtZIep2hLdTHG-chM0w9aHBSSpJHwm6lak/edit?usp=sharing"","""&amp;"รวมตะวันออกเฉียงเหนือ!I594"")+IMPORTRANGE(""https://docs.google.com/spreadsheets/d/1dCxWUCc_SKNp-qd8qsaa5pPX_-BuQqWJ_-8FnsS4Ki0/edit?usp=sharing"",""รวมกลาง!I594"")+IMPORTRANGE(""https://docs.google.com/spreadsheets/d/1uOzBKYgpuhMUe0xXQLXSct3xZ80hakAMJHdG"&amp;"Jh9616E/edit?usp=sharing"",""รวมใต้!I594"")"),0)</f>
        <v>0</v>
      </c>
      <c r="J605" s="186">
        <f ca="1">IFERROR(__xludf.DUMMYFUNCTION("IMPORTRANGE(""https://docs.google.com/spreadsheets/d/1yGy89TWty5kAjAO5OL1fLLQ_DL8fVJHFf2LvMm8qymA/edit?usp=sharing"",""รวมเหนือ!J594"")+IMPORTRANGE(""https://docs.google.com/spreadsheets/d/1bWGR5Y7oTgtZIep2hLdTHG-chM0w9aHBSSpJHwm6lak/edit?usp=sharing"","""&amp;"รวมตะวันออกเฉียงเหนือ!J594"")+IMPORTRANGE(""https://docs.google.com/spreadsheets/d/1dCxWUCc_SKNp-qd8qsaa5pPX_-BuQqWJ_-8FnsS4Ki0/edit?usp=sharing"",""รวมกลาง!J594"")+IMPORTRANGE(""https://docs.google.com/spreadsheets/d/1uOzBKYgpuhMUe0xXQLXSct3xZ80hakAMJHdG"&amp;"Jh9616E/edit?usp=sharing"",""รวมใต้!J594"")"),203.71)</f>
        <v>203.71</v>
      </c>
      <c r="K605" s="341">
        <f t="shared" ca="1" si="142"/>
        <v>0</v>
      </c>
      <c r="L605" s="180"/>
      <c r="M605" s="180"/>
      <c r="N605" s="180"/>
      <c r="O605" s="180"/>
      <c r="P605" s="180"/>
    </row>
    <row r="606" spans="1:16" ht="21.75" customHeight="1" x14ac:dyDescent="0.3">
      <c r="A606" s="484"/>
      <c r="B606" s="166"/>
      <c r="C606" s="159"/>
      <c r="D606" s="291"/>
      <c r="E606" s="193" t="s">
        <v>124</v>
      </c>
      <c r="F606" s="194"/>
      <c r="G606" s="195"/>
      <c r="H606" s="179" t="s">
        <v>37</v>
      </c>
      <c r="I606" s="340">
        <f ca="1">IFERROR(__xludf.DUMMYFUNCTION("IMPORTRANGE(""https://docs.google.com/spreadsheets/d/1yGy89TWty5kAjAO5OL1fLLQ_DL8fVJHFf2LvMm8qymA/edit?usp=sharing"",""รวมเหนือ!I595"")+IMPORTRANGE(""https://docs.google.com/spreadsheets/d/1bWGR5Y7oTgtZIep2hLdTHG-chM0w9aHBSSpJHwm6lak/edit?usp=sharing"","""&amp;"รวมตะวันออกเฉียงเหนือ!I595"")+IMPORTRANGE(""https://docs.google.com/spreadsheets/d/1dCxWUCc_SKNp-qd8qsaa5pPX_-BuQqWJ_-8FnsS4Ki0/edit?usp=sharing"",""รวมกลาง!I595"")+IMPORTRANGE(""https://docs.google.com/spreadsheets/d/1uOzBKYgpuhMUe0xXQLXSct3xZ80hakAMJHdG"&amp;"Jh9616E/edit?usp=sharing"",""รวมใต้!I595"")"),6565)</f>
        <v>6565</v>
      </c>
      <c r="J606" s="186">
        <f ca="1">IFERROR(__xludf.DUMMYFUNCTION("IMPORTRANGE(""https://docs.google.com/spreadsheets/d/1yGy89TWty5kAjAO5OL1fLLQ_DL8fVJHFf2LvMm8qymA/edit?usp=sharing"",""รวมเหนือ!J595"")+IMPORTRANGE(""https://docs.google.com/spreadsheets/d/1bWGR5Y7oTgtZIep2hLdTHG-chM0w9aHBSSpJHwm6lak/edit?usp=sharing"","""&amp;"รวมตะวันออกเฉียงเหนือ!J595"")+IMPORTRANGE(""https://docs.google.com/spreadsheets/d/1dCxWUCc_SKNp-qd8qsaa5pPX_-BuQqWJ_-8FnsS4Ki0/edit?usp=sharing"",""รวมกลาง!J595"")+IMPORTRANGE(""https://docs.google.com/spreadsheets/d/1uOzBKYgpuhMUe0xXQLXSct3xZ80hakAMJHdG"&amp;"Jh9616E/edit?usp=sharing"",""รวมใต้!J595"")"),271)</f>
        <v>271</v>
      </c>
      <c r="K606" s="163">
        <f t="shared" ca="1" si="142"/>
        <v>4.1279512566641277</v>
      </c>
      <c r="L606" s="180"/>
      <c r="M606" s="180"/>
      <c r="N606" s="180"/>
      <c r="O606" s="180"/>
      <c r="P606" s="180"/>
    </row>
    <row r="607" spans="1:16" ht="21.75" customHeight="1" x14ac:dyDescent="0.3">
      <c r="A607" s="486"/>
      <c r="B607" s="487" t="s">
        <v>217</v>
      </c>
      <c r="C607" s="488"/>
      <c r="D607" s="489"/>
      <c r="E607" s="468"/>
      <c r="F607" s="468"/>
      <c r="G607" s="469"/>
      <c r="H607" s="490" t="s">
        <v>121</v>
      </c>
      <c r="I607" s="491">
        <f ca="1">IFERROR(__xludf.DUMMYFUNCTION("IMPORTRANGE(""https://docs.google.com/spreadsheets/d/1yGy89TWty5kAjAO5OL1fLLQ_DL8fVJHFf2LvMm8qymA/edit?usp=sharing"",""รวมเหนือ!I596"")+IMPORTRANGE(""https://docs.google.com/spreadsheets/d/1bWGR5Y7oTgtZIep2hLdTHG-chM0w9aHBSSpJHwm6lak/edit?usp=sharing"","""&amp;"รวมตะวันออกเฉียงเหนือ!I596"")+IMPORTRANGE(""https://docs.google.com/spreadsheets/d/1dCxWUCc_SKNp-qd8qsaa5pPX_-BuQqWJ_-8FnsS4Ki0/edit?usp=sharing"",""รวมกลาง!I596"")+IMPORTRANGE(""https://docs.google.com/spreadsheets/d/1uOzBKYgpuhMUe0xXQLXSct3xZ80hakAMJHdG"&amp;"Jh9616E/edit?usp=sharing"",""รวมใต้!I596"")"),0)</f>
        <v>0</v>
      </c>
      <c r="J607" s="237">
        <f ca="1">IFERROR(__xludf.DUMMYFUNCTION("IMPORTRANGE(""https://docs.google.com/spreadsheets/d/1yGy89TWty5kAjAO5OL1fLLQ_DL8fVJHFf2LvMm8qymA/edit?usp=sharing"",""รวมเหนือ!J596"")+IMPORTRANGE(""https://docs.google.com/spreadsheets/d/1bWGR5Y7oTgtZIep2hLdTHG-chM0w9aHBSSpJHwm6lak/edit?usp=sharing"","""&amp;"รวมตะวันออกเฉียงเหนือ!J596"")+IMPORTRANGE(""https://docs.google.com/spreadsheets/d/1dCxWUCc_SKNp-qd8qsaa5pPX_-BuQqWJ_-8FnsS4Ki0/edit?usp=sharing"",""รวมกลาง!J596"")+IMPORTRANGE(""https://docs.google.com/spreadsheets/d/1uOzBKYgpuhMUe0xXQLXSct3xZ80hakAMJHdG"&amp;"Jh9616E/edit?usp=sharing"",""รวมใต้!J596"")"),163.35)</f>
        <v>163.35</v>
      </c>
      <c r="K607" s="492">
        <f t="shared" ca="1" si="142"/>
        <v>0</v>
      </c>
      <c r="L607" s="473"/>
      <c r="M607" s="473"/>
      <c r="N607" s="473"/>
      <c r="O607" s="473"/>
      <c r="P607" s="473"/>
    </row>
    <row r="608" spans="1:16" ht="21.75" customHeight="1" x14ac:dyDescent="0.3">
      <c r="A608" s="408"/>
      <c r="B608" s="409">
        <v>10</v>
      </c>
      <c r="C608" s="410" t="s">
        <v>218</v>
      </c>
      <c r="D608" s="410"/>
      <c r="E608" s="410"/>
      <c r="F608" s="410"/>
      <c r="G608" s="411"/>
      <c r="H608" s="412" t="s">
        <v>121</v>
      </c>
      <c r="I608" s="413">
        <f ca="1">IFERROR(__xludf.DUMMYFUNCTION("IMPORTRANGE(""https://docs.google.com/spreadsheets/d/1yGy89TWty5kAjAO5OL1fLLQ_DL8fVJHFf2LvMm8qymA/edit?usp=sharing"",""รวมเหนือ!I597"")+IMPORTRANGE(""https://docs.google.com/spreadsheets/d/1bWGR5Y7oTgtZIep2hLdTHG-chM0w9aHBSSpJHwm6lak/edit?usp=sharing"","""&amp;"รวมตะวันออกเฉียงเหนือ!I597"")+IMPORTRANGE(""https://docs.google.com/spreadsheets/d/1dCxWUCc_SKNp-qd8qsaa5pPX_-BuQqWJ_-8FnsS4Ki0/edit?usp=sharing"",""รวมกลาง!I597"")+IMPORTRANGE(""https://docs.google.com/spreadsheets/d/1uOzBKYgpuhMUe0xXQLXSct3xZ80hakAMJHdG"&amp;"Jh9616E/edit?usp=sharing"",""รวมใต้!I597"")"),6700)</f>
        <v>6700</v>
      </c>
      <c r="J608" s="493">
        <f ca="1">IFERROR(__xludf.DUMMYFUNCTION("IMPORTRANGE(""https://docs.google.com/spreadsheets/d/1yGy89TWty5kAjAO5OL1fLLQ_DL8fVJHFf2LvMm8qymA/edit?usp=sharing"",""รวมเหนือ!J597"")+IMPORTRANGE(""https://docs.google.com/spreadsheets/d/1bWGR5Y7oTgtZIep2hLdTHG-chM0w9aHBSSpJHwm6lak/edit?usp=sharing"","""&amp;"รวมตะวันออกเฉียงเหนือ!J597"")+IMPORTRANGE(""https://docs.google.com/spreadsheets/d/1dCxWUCc_SKNp-qd8qsaa5pPX_-BuQqWJ_-8FnsS4Ki0/edit?usp=sharing"",""รวมกลาง!J597"")+IMPORTRANGE(""https://docs.google.com/spreadsheets/d/1uOzBKYgpuhMUe0xXQLXSct3xZ80hakAMJHdG"&amp;"Jh9616E/edit?usp=sharing"",""รวมใต้!J597"")"),0)</f>
        <v>0</v>
      </c>
      <c r="K608" s="414">
        <f ca="1">IF(I608&gt;0,J608*100/I608,0)</f>
        <v>0</v>
      </c>
      <c r="L608" s="415">
        <f ca="1">L609+L610</f>
        <v>863900</v>
      </c>
      <c r="M608" s="415"/>
      <c r="N608" s="415">
        <f ca="1">N609+N610</f>
        <v>148200.04</v>
      </c>
      <c r="O608" s="415">
        <f t="shared" ref="O608:O612" ca="1" si="143">+IF(L608&gt;0,N608*100/L608,0)</f>
        <v>17.154767912952888</v>
      </c>
      <c r="P608" s="415"/>
    </row>
    <row r="609" spans="1:16" ht="21.75" customHeight="1" x14ac:dyDescent="0.3">
      <c r="A609" s="158"/>
      <c r="B609" s="159"/>
      <c r="C609" s="159" t="s">
        <v>16</v>
      </c>
      <c r="D609" s="274" t="s">
        <v>75</v>
      </c>
      <c r="E609" s="167"/>
      <c r="F609" s="167"/>
      <c r="G609" s="374" t="s">
        <v>38</v>
      </c>
      <c r="H609" s="168" t="s">
        <v>12</v>
      </c>
      <c r="I609" s="162" t="s">
        <v>39</v>
      </c>
      <c r="J609" s="162"/>
      <c r="K609" s="163"/>
      <c r="L609" s="275">
        <f ca="1">IFERROR(__xludf.DUMMYFUNCTION("IMPORTRANGE(""https://docs.google.com/spreadsheets/d/1muirlRDkqiswvy_NRZ3Yh955hx-PF6_HhssUYiSJj8o/edit?usp=sharing"",""กองทุนส่วนกลาง!AQ10"")"),233060)</f>
        <v>233060</v>
      </c>
      <c r="M609" s="275"/>
      <c r="N609" s="276">
        <f ca="1">IFERROR(__xludf.DUMMYFUNCTION("IMPORTRANGE(""https://docs.google.com/spreadsheets/d/1-fhVXPMm30suWK0-eslVgeT9cTVfCsDeUsq7Bk5UZE8/edit?usp=sharing"",""ทั้งประเทศ!M493"")"),0)</f>
        <v>0</v>
      </c>
      <c r="O609" s="276">
        <f t="shared" ca="1" si="143"/>
        <v>0</v>
      </c>
      <c r="P609" s="165"/>
    </row>
    <row r="610" spans="1:16" ht="21.75" customHeight="1" x14ac:dyDescent="0.3">
      <c r="A610" s="158"/>
      <c r="B610" s="159"/>
      <c r="C610" s="159"/>
      <c r="D610" s="166"/>
      <c r="E610" s="167"/>
      <c r="F610" s="167" t="s">
        <v>39</v>
      </c>
      <c r="G610" s="374" t="s">
        <v>40</v>
      </c>
      <c r="H610" s="168" t="s">
        <v>12</v>
      </c>
      <c r="I610" s="162"/>
      <c r="J610" s="162"/>
      <c r="K610" s="163"/>
      <c r="L610" s="276">
        <f ca="1">L611+L612</f>
        <v>630840</v>
      </c>
      <c r="M610" s="276"/>
      <c r="N610" s="276">
        <f ca="1">N611+N612</f>
        <v>148200.04</v>
      </c>
      <c r="O610" s="276">
        <f t="shared" ca="1" si="143"/>
        <v>23.492492549616383</v>
      </c>
      <c r="P610" s="165"/>
    </row>
    <row r="611" spans="1:16" ht="21.75" customHeight="1" x14ac:dyDescent="0.4">
      <c r="A611" s="158"/>
      <c r="B611" s="159"/>
      <c r="C611" s="159"/>
      <c r="D611" s="166"/>
      <c r="E611" s="167"/>
      <c r="F611" s="167"/>
      <c r="G611" s="34" t="s">
        <v>21</v>
      </c>
      <c r="H611" s="168" t="s">
        <v>12</v>
      </c>
      <c r="I611" s="162"/>
      <c r="J611" s="162"/>
      <c r="K611" s="163"/>
      <c r="L611" s="165">
        <f ca="1">IFERROR(__xludf.DUMMYFUNCTION("IMPORTRANGE(""https://docs.google.com/spreadsheets/d/1yGy89TWty5kAjAO5OL1fLLQ_DL8fVJHFf2LvMm8qymA/edit?usp=sharing"",""รวมเหนือ!L600"")+IMPORTRANGE(""https://docs.google.com/spreadsheets/d/1bWGR5Y7oTgtZIep2hLdTHG-chM0w9aHBSSpJHwm6lak/edit?usp=sharing"","""&amp;"รวมตะวันออกเฉียงเหนือ!L600"")+IMPORTRANGE(""https://docs.google.com/spreadsheets/d/1dCxWUCc_SKNp-qd8qsaa5pPX_-BuQqWJ_-8FnsS4Ki0/edit?usp=sharing"",""รวมกลาง!L600"")+IMPORTRANGE(""https://docs.google.com/spreadsheets/d/1uOzBKYgpuhMUe0xXQLXSct3xZ80hakAMJHdG"&amp;"Jh9616E/edit?usp=sharing"",""รวมใต้!L600"")"),0)</f>
        <v>0</v>
      </c>
      <c r="M611" s="165"/>
      <c r="N611" s="165">
        <f ca="1">IFERROR(__xludf.DUMMYFUNCTION("IMPORTRANGE(""https://docs.google.com/spreadsheets/d/1yGy89TWty5kAjAO5OL1fLLQ_DL8fVJHFf2LvMm8qymA/edit?usp=sharing"",""รวมเหนือ!N353"")+IMPORTRANGE(""https://docs.google.com/spreadsheets/d/1bWGR5Y7oTgtZIep2hLdTHG-chM0w9aHBSSpJHwm6lak/edit?usp=sharing"","""&amp;"รวมตะวันออกเฉียงเหนือ!N353"")+IMPORTRANGE(""https://docs.google.com/spreadsheets/d/1dCxWUCc_SKNp-qd8qsaa5pPX_-BuQqWJ_-8FnsS4Ki0/edit?usp=sharing"",""รวมกลาง!N353"")+IMPORTRANGE(""https://docs.google.com/spreadsheets/d/1uOzBKYgpuhMUe0xXQLXSct3xZ80hakAMJHdG"&amp;"Jh9616E/edit?usp=sharing"",""รวมใต้!N353"")"),0)</f>
        <v>0</v>
      </c>
      <c r="O611" s="165">
        <f t="shared" ca="1" si="143"/>
        <v>0</v>
      </c>
      <c r="P611" s="165"/>
    </row>
    <row r="612" spans="1:16" ht="21.75" customHeight="1" x14ac:dyDescent="0.4">
      <c r="A612" s="158"/>
      <c r="B612" s="159"/>
      <c r="C612" s="159"/>
      <c r="D612" s="166"/>
      <c r="E612" s="167"/>
      <c r="F612" s="167"/>
      <c r="G612" s="34" t="s">
        <v>22</v>
      </c>
      <c r="H612" s="168" t="s">
        <v>12</v>
      </c>
      <c r="I612" s="162"/>
      <c r="J612" s="162"/>
      <c r="K612" s="163"/>
      <c r="L612" s="165">
        <f ca="1">IFERROR(__xludf.DUMMYFUNCTION("IMPORTRANGE(""https://docs.google.com/spreadsheets/d/1yGy89TWty5kAjAO5OL1fLLQ_DL8fVJHFf2LvMm8qymA/edit?usp=sharing"",""รวมเหนือ!L601"")+IMPORTRANGE(""https://docs.google.com/spreadsheets/d/1bWGR5Y7oTgtZIep2hLdTHG-chM0w9aHBSSpJHwm6lak/edit?usp=sharing"","""&amp;"รวมตะวันออกเฉียงเหนือ!L601"")+IMPORTRANGE(""https://docs.google.com/spreadsheets/d/1dCxWUCc_SKNp-qd8qsaa5pPX_-BuQqWJ_-8FnsS4Ki0/edit?usp=sharing"",""รวมกลาง!L601"")+IMPORTRANGE(""https://docs.google.com/spreadsheets/d/1uOzBKYgpuhMUe0xXQLXSct3xZ80hakAMJHdG"&amp;"Jh9616E/edit?usp=sharing"",""รวมใต้!L601"")"),630840)</f>
        <v>630840</v>
      </c>
      <c r="M612" s="165"/>
      <c r="N612" s="165">
        <f ca="1">N613+N614+N615+N616</f>
        <v>148200.04</v>
      </c>
      <c r="O612" s="165">
        <f t="shared" ca="1" si="143"/>
        <v>23.492492549616383</v>
      </c>
      <c r="P612" s="165"/>
    </row>
    <row r="613" spans="1:16" ht="21.75" customHeight="1" x14ac:dyDescent="0.3">
      <c r="A613" s="375"/>
      <c r="B613" s="376"/>
      <c r="C613" s="159"/>
      <c r="D613" s="377"/>
      <c r="E613" s="167"/>
      <c r="F613" s="167"/>
      <c r="G613" s="378" t="s">
        <v>129</v>
      </c>
      <c r="H613" s="168" t="s">
        <v>12</v>
      </c>
      <c r="I613" s="186"/>
      <c r="J613" s="186"/>
      <c r="K613" s="221"/>
      <c r="L613" s="165"/>
      <c r="M613" s="165"/>
      <c r="N613" s="164">
        <f ca="1">IFERROR(__xludf.DUMMYFUNCTION("IMPORTRANGE(""https://docs.google.com/spreadsheets/d/1yGy89TWty5kAjAO5OL1fLLQ_DL8fVJHFf2LvMm8qymA/edit?usp=sharing"",""รวมเหนือ!N602"")+IMPORTRANGE(""https://docs.google.com/spreadsheets/d/1bWGR5Y7oTgtZIep2hLdTHG-chM0w9aHBSSpJHwm6lak/edit?usp=sharing"","""&amp;"รวมตะวันออกเฉียงเหนือ!N602"")+IMPORTRANGE(""https://docs.google.com/spreadsheets/d/1dCxWUCc_SKNp-qd8qsaa5pPX_-BuQqWJ_-8FnsS4Ki0/edit?usp=sharing"",""รวมกลาง!N602"")+IMPORTRANGE(""https://docs.google.com/spreadsheets/d/1uOzBKYgpuhMUe0xXQLXSct3xZ80hakAMJHdG"&amp;"Jh9616E/edit?usp=sharing"",""รวมใต้!N602"")"),0)</f>
        <v>0</v>
      </c>
      <c r="O613" s="165"/>
      <c r="P613" s="165"/>
    </row>
    <row r="614" spans="1:16" ht="21.75" customHeight="1" x14ac:dyDescent="0.3">
      <c r="A614" s="375"/>
      <c r="B614" s="376"/>
      <c r="C614" s="159"/>
      <c r="D614" s="377"/>
      <c r="E614" s="167"/>
      <c r="F614" s="167"/>
      <c r="G614" s="378" t="s">
        <v>130</v>
      </c>
      <c r="H614" s="168" t="s">
        <v>12</v>
      </c>
      <c r="I614" s="186"/>
      <c r="J614" s="186"/>
      <c r="K614" s="221"/>
      <c r="L614" s="165"/>
      <c r="M614" s="165"/>
      <c r="N614" s="164">
        <f ca="1">IFERROR(__xludf.DUMMYFUNCTION("IMPORTRANGE(""https://docs.google.com/spreadsheets/d/1yGy89TWty5kAjAO5OL1fLLQ_DL8fVJHFf2LvMm8qymA/edit?usp=sharing"",""รวมเหนือ!N603"")+IMPORTRANGE(""https://docs.google.com/spreadsheets/d/1bWGR5Y7oTgtZIep2hLdTHG-chM0w9aHBSSpJHwm6lak/edit?usp=sharing"","""&amp;"รวมตะวันออกเฉียงเหนือ!N603"")+IMPORTRANGE(""https://docs.google.com/spreadsheets/d/1dCxWUCc_SKNp-qd8qsaa5pPX_-BuQqWJ_-8FnsS4Ki0/edit?usp=sharing"",""รวมกลาง!N603"")+IMPORTRANGE(""https://docs.google.com/spreadsheets/d/1uOzBKYgpuhMUe0xXQLXSct3xZ80hakAMJHdG"&amp;"Jh9616E/edit?usp=sharing"",""รวมใต้!N603"")"),0)</f>
        <v>0</v>
      </c>
      <c r="O614" s="165"/>
      <c r="P614" s="165"/>
    </row>
    <row r="615" spans="1:16" ht="21.75" customHeight="1" x14ac:dyDescent="0.3">
      <c r="A615" s="375"/>
      <c r="B615" s="376"/>
      <c r="C615" s="159"/>
      <c r="D615" s="377"/>
      <c r="E615" s="167"/>
      <c r="F615" s="167"/>
      <c r="G615" s="378" t="s">
        <v>131</v>
      </c>
      <c r="H615" s="168" t="s">
        <v>12</v>
      </c>
      <c r="I615" s="186"/>
      <c r="J615" s="186"/>
      <c r="K615" s="221"/>
      <c r="L615" s="165"/>
      <c r="M615" s="165"/>
      <c r="N615" s="164">
        <f ca="1">IFERROR(__xludf.DUMMYFUNCTION("IMPORTRANGE(""https://docs.google.com/spreadsheets/d/1yGy89TWty5kAjAO5OL1fLLQ_DL8fVJHFf2LvMm8qymA/edit?usp=sharing"",""รวมเหนือ!N604"")+IMPORTRANGE(""https://docs.google.com/spreadsheets/d/1bWGR5Y7oTgtZIep2hLdTHG-chM0w9aHBSSpJHwm6lak/edit?usp=sharing"","""&amp;"รวมตะวันออกเฉียงเหนือ!N604"")+IMPORTRANGE(""https://docs.google.com/spreadsheets/d/1dCxWUCc_SKNp-qd8qsaa5pPX_-BuQqWJ_-8FnsS4Ki0/edit?usp=sharing"",""รวมกลาง!N604"")+IMPORTRANGE(""https://docs.google.com/spreadsheets/d/1uOzBKYgpuhMUe0xXQLXSct3xZ80hakAMJHdG"&amp;"Jh9616E/edit?usp=sharing"",""รวมใต้!N604"")"),8400)</f>
        <v>8400</v>
      </c>
      <c r="O615" s="165"/>
      <c r="P615" s="165"/>
    </row>
    <row r="616" spans="1:16" ht="21.75" customHeight="1" x14ac:dyDescent="0.3">
      <c r="A616" s="375"/>
      <c r="B616" s="376"/>
      <c r="C616" s="159"/>
      <c r="D616" s="377"/>
      <c r="E616" s="167"/>
      <c r="F616" s="167"/>
      <c r="G616" s="378" t="s">
        <v>132</v>
      </c>
      <c r="H616" s="168" t="s">
        <v>12</v>
      </c>
      <c r="I616" s="186"/>
      <c r="J616" s="186"/>
      <c r="K616" s="221"/>
      <c r="L616" s="165"/>
      <c r="M616" s="165"/>
      <c r="N616" s="164">
        <f ca="1">IFERROR(__xludf.DUMMYFUNCTION("IMPORTRANGE(""https://docs.google.com/spreadsheets/d/1yGy89TWty5kAjAO5OL1fLLQ_DL8fVJHFf2LvMm8qymA/edit?usp=sharing"",""รวมเหนือ!N605"")+IMPORTRANGE(""https://docs.google.com/spreadsheets/d/1bWGR5Y7oTgtZIep2hLdTHG-chM0w9aHBSSpJHwm6lak/edit?usp=sharing"","""&amp;"รวมตะวันออกเฉียงเหนือ!N605"")+IMPORTRANGE(""https://docs.google.com/spreadsheets/d/1dCxWUCc_SKNp-qd8qsaa5pPX_-BuQqWJ_-8FnsS4Ki0/edit?usp=sharing"",""รวมกลาง!N605"")+IMPORTRANGE(""https://docs.google.com/spreadsheets/d/1uOzBKYgpuhMUe0xXQLXSct3xZ80hakAMJHdG"&amp;"Jh9616E/edit?usp=sharing"",""รวมใต้!N605"")"),139800.04)</f>
        <v>139800.04</v>
      </c>
      <c r="O616" s="165"/>
      <c r="P616" s="165"/>
    </row>
    <row r="617" spans="1:16" ht="21.75" customHeight="1" x14ac:dyDescent="0.3">
      <c r="A617" s="174"/>
      <c r="B617" s="175"/>
      <c r="C617" s="159" t="s">
        <v>16</v>
      </c>
      <c r="D617" s="176" t="s">
        <v>41</v>
      </c>
      <c r="E617" s="177"/>
      <c r="F617" s="177"/>
      <c r="G617" s="178"/>
      <c r="H617" s="179"/>
      <c r="I617" s="162"/>
      <c r="J617" s="162"/>
      <c r="K617" s="163"/>
      <c r="L617" s="180"/>
      <c r="M617" s="180"/>
      <c r="N617" s="180"/>
      <c r="O617" s="180"/>
      <c r="P617" s="180"/>
    </row>
    <row r="618" spans="1:16" ht="21.75" customHeight="1" x14ac:dyDescent="0.3">
      <c r="A618" s="174"/>
      <c r="B618" s="175"/>
      <c r="C618" s="175"/>
      <c r="D618" s="181">
        <v>1</v>
      </c>
      <c r="E618" s="182" t="s">
        <v>42</v>
      </c>
      <c r="F618" s="183"/>
      <c r="G618" s="184"/>
      <c r="H618" s="185"/>
      <c r="I618" s="186"/>
      <c r="J618" s="186">
        <f ca="1">IFERROR(__xludf.DUMMYFUNCTION("IMPORTRANGE(""https://docs.google.com/spreadsheets/d/1yGy89TWty5kAjAO5OL1fLLQ_DL8fVJHFf2LvMm8qymA/edit?usp=sharing"",""รวมเหนือ!J607"")+IMPORTRANGE(""https://docs.google.com/spreadsheets/d/1bWGR5Y7oTgtZIep2hLdTHG-chM0w9aHBSSpJHwm6lak/edit?usp=sharing"","""&amp;"รวมตะวันออกเฉียงเหนือ!J607"")+IMPORTRANGE(""https://docs.google.com/spreadsheets/d/1dCxWUCc_SKNp-qd8qsaa5pPX_-BuQqWJ_-8FnsS4Ki0/edit?usp=sharing"",""รวมกลาง!J607"")+IMPORTRANGE(""https://docs.google.com/spreadsheets/d/1uOzBKYgpuhMUe0xXQLXSct3xZ80hakAMJHdG"&amp;"Jh9616E/edit?usp=sharing"",""รวมใต้!J607"")"),1)</f>
        <v>1</v>
      </c>
      <c r="K618" s="163"/>
      <c r="L618" s="180"/>
      <c r="M618" s="180"/>
      <c r="N618" s="180"/>
      <c r="O618" s="180"/>
      <c r="P618" s="180"/>
    </row>
    <row r="619" spans="1:16" ht="21.75" customHeight="1" x14ac:dyDescent="0.3">
      <c r="A619" s="174"/>
      <c r="B619" s="175"/>
      <c r="C619" s="175"/>
      <c r="D619" s="188">
        <v>2</v>
      </c>
      <c r="E619" s="189" t="s">
        <v>43</v>
      </c>
      <c r="F619" s="190"/>
      <c r="G619" s="191"/>
      <c r="H619" s="185"/>
      <c r="I619" s="186"/>
      <c r="J619" s="186">
        <f ca="1">IFERROR(__xludf.DUMMYFUNCTION("IMPORTRANGE(""https://docs.google.com/spreadsheets/d/1yGy89TWty5kAjAO5OL1fLLQ_DL8fVJHFf2LvMm8qymA/edit?usp=sharing"",""รวมเหนือ!J608"")+IMPORTRANGE(""https://docs.google.com/spreadsheets/d/1bWGR5Y7oTgtZIep2hLdTHG-chM0w9aHBSSpJHwm6lak/edit?usp=sharing"","""&amp;"รวมตะวันออกเฉียงเหนือ!J608"")+IMPORTRANGE(""https://docs.google.com/spreadsheets/d/1dCxWUCc_SKNp-qd8qsaa5pPX_-BuQqWJ_-8FnsS4Ki0/edit?usp=sharing"",""รวมกลาง!J608"")+IMPORTRANGE(""https://docs.google.com/spreadsheets/d/1uOzBKYgpuhMUe0xXQLXSct3xZ80hakAMJHdG"&amp;"Jh9616E/edit?usp=sharing"",""รวมใต้!J608"")"),70)</f>
        <v>70</v>
      </c>
      <c r="K619" s="163"/>
      <c r="L619" s="180" t="s">
        <v>39</v>
      </c>
      <c r="M619" s="180"/>
      <c r="N619" s="180" t="s">
        <v>39</v>
      </c>
      <c r="O619" s="180"/>
      <c r="P619" s="180"/>
    </row>
    <row r="620" spans="1:16" ht="21.75" hidden="1" customHeight="1" x14ac:dyDescent="0.3">
      <c r="A620" s="375"/>
      <c r="B620" s="376"/>
      <c r="C620" s="376"/>
      <c r="D620" s="494"/>
      <c r="E620" s="495" t="s">
        <v>44</v>
      </c>
      <c r="F620" s="496"/>
      <c r="G620" s="383"/>
      <c r="H620" s="185"/>
      <c r="I620" s="186"/>
      <c r="J620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0" s="221"/>
      <c r="L620" s="165"/>
      <c r="M620" s="165"/>
      <c r="N620" s="165"/>
      <c r="O620" s="165"/>
      <c r="P620" s="165"/>
    </row>
    <row r="621" spans="1:16" ht="21.75" hidden="1" customHeight="1" x14ac:dyDescent="0.3">
      <c r="A621" s="375"/>
      <c r="B621" s="376"/>
      <c r="C621" s="376"/>
      <c r="D621" s="494"/>
      <c r="E621" s="495" t="s">
        <v>45</v>
      </c>
      <c r="F621" s="496"/>
      <c r="G621" s="383"/>
      <c r="H621" s="185"/>
      <c r="I621" s="186"/>
      <c r="J621" s="186">
        <f ca="1">IFERROR(__xludf.DUMMYFUNCTION("IMPORTRANGE(""https://docs.google.com/spreadsheets/d/1yGy89TWty5kAjAO5OL1fLLQ_DL8fVJHFf2LvMm8qymA/edit?usp=sharing"",""รวมเหนือ!J90"")+IMPORTRANGE(""https://docs.google.com/spreadsheets/d/1bWGR5Y7oTgtZIep2hLdTHG-chM0w9aHBSSpJHwm6lak/edit?usp=sharing"",""ร"&amp;"วมตะวันออกเฉียงเหนือ!J90"")+IMPORTRANGE(""https://docs.google.com/spreadsheets/d/1dCxWUCc_SKNp-qd8qsaa5pPX_-BuQqWJ_-8FnsS4Ki0/edit?usp=sharing"",""รวมกลาง!J90"")+IMPORTRANGE(""https://docs.google.com/spreadsheets/d/1uOzBKYgpuhMUe0xXQLXSct3xZ80hakAMJHdGJh9"&amp;"616E/edit?usp=sharing"",""รวมใต้!J90"")"),0)</f>
        <v>0</v>
      </c>
      <c r="K621" s="221"/>
      <c r="L621" s="165"/>
      <c r="M621" s="165"/>
      <c r="N621" s="165"/>
      <c r="O621" s="165"/>
      <c r="P621" s="165"/>
    </row>
    <row r="622" spans="1:16" ht="21.75" customHeight="1" x14ac:dyDescent="0.3">
      <c r="A622" s="174"/>
      <c r="B622" s="175"/>
      <c r="C622" s="175"/>
      <c r="D622" s="192"/>
      <c r="E622" s="194"/>
      <c r="F622" s="194" t="s">
        <v>219</v>
      </c>
      <c r="G622" s="195"/>
      <c r="H622" s="179" t="s">
        <v>121</v>
      </c>
      <c r="I622" s="186">
        <f ca="1">IFERROR(__xludf.DUMMYFUNCTION("IMPORTRANGE(""https://docs.google.com/spreadsheets/d/1yGy89TWty5kAjAO5OL1fLLQ_DL8fVJHFf2LvMm8qymA/edit?usp=sharing"",""รวมเหนือ!I611"")+IMPORTRANGE(""https://docs.google.com/spreadsheets/d/1bWGR5Y7oTgtZIep2hLdTHG-chM0w9aHBSSpJHwm6lak/edit?usp=sharing"","""&amp;"รวมตะวันออกเฉียงเหนือ!I611"")+IMPORTRANGE(""https://docs.google.com/spreadsheets/d/1dCxWUCc_SKNp-qd8qsaa5pPX_-BuQqWJ_-8FnsS4Ki0/edit?usp=sharing"",""รวมกลาง!I611"")+IMPORTRANGE(""https://docs.google.com/spreadsheets/d/1uOzBKYgpuhMUe0xXQLXSct3xZ80hakAMJHdG"&amp;"Jh9616E/edit?usp=sharing"",""รวมใต้!I611"")"),6700)</f>
        <v>6700</v>
      </c>
      <c r="J622" s="186">
        <f ca="1">IFERROR(__xludf.DUMMYFUNCTION("IMPORTRANGE(""https://docs.google.com/spreadsheets/d/1yGy89TWty5kAjAO5OL1fLLQ_DL8fVJHFf2LvMm8qymA/edit?usp=sharing"",""รวมเหนือ!J611"")+IMPORTRANGE(""https://docs.google.com/spreadsheets/d/1bWGR5Y7oTgtZIep2hLdTHG-chM0w9aHBSSpJHwm6lak/edit?usp=sharing"","""&amp;"รวมตะวันออกเฉียงเหนือ!J611"")+IMPORTRANGE(""https://docs.google.com/spreadsheets/d/1dCxWUCc_SKNp-qd8qsaa5pPX_-BuQqWJ_-8FnsS4Ki0/edit?usp=sharing"",""รวมกลาง!J611"")+IMPORTRANGE(""https://docs.google.com/spreadsheets/d/1uOzBKYgpuhMUe0xXQLXSct3xZ80hakAMJHdG"&amp;"Jh9616E/edit?usp=sharing"",""รวมใต้!J611"")"),0)</f>
        <v>0</v>
      </c>
      <c r="K622" s="163">
        <f t="shared" ref="K622:K630" ca="1" si="144">IF(I$622&gt;0,J622*100/I$622,0)</f>
        <v>0</v>
      </c>
      <c r="L622" s="180"/>
      <c r="M622" s="180"/>
      <c r="N622" s="180"/>
      <c r="O622" s="180"/>
      <c r="P622" s="180"/>
    </row>
    <row r="623" spans="1:16" ht="21.75" customHeight="1" x14ac:dyDescent="0.3">
      <c r="A623" s="174"/>
      <c r="B623" s="175"/>
      <c r="C623" s="175"/>
      <c r="D623" s="192"/>
      <c r="E623" s="196"/>
      <c r="F623" s="194"/>
      <c r="G623" s="288" t="s">
        <v>220</v>
      </c>
      <c r="H623" s="179" t="s">
        <v>121</v>
      </c>
      <c r="I623" s="187">
        <f ca="1">IFERROR(__xludf.DUMMYFUNCTION("IMPORTRANGE(""https://docs.google.com/spreadsheets/d/1yGy89TWty5kAjAO5OL1fLLQ_DL8fVJHFf2LvMm8qymA/edit?usp=sharing"",""รวมเหนือ!I612"")+IMPORTRANGE(""https://docs.google.com/spreadsheets/d/1bWGR5Y7oTgtZIep2hLdTHG-chM0w9aHBSSpJHwm6lak/edit?usp=sharing"","""&amp;"รวมตะวันออกเฉียงเหนือ!I612"")+IMPORTRANGE(""https://docs.google.com/spreadsheets/d/1dCxWUCc_SKNp-qd8qsaa5pPX_-BuQqWJ_-8FnsS4Ki0/edit?usp=sharing"",""รวมกลาง!I612"")+IMPORTRANGE(""https://docs.google.com/spreadsheets/d/1uOzBKYgpuhMUe0xXQLXSct3xZ80hakAMJHdG"&amp;"Jh9616E/edit?usp=sharing"",""รวมใต้!I612"")"),0)</f>
        <v>0</v>
      </c>
      <c r="J623" s="186">
        <f ca="1">IFERROR(__xludf.DUMMYFUNCTION("IMPORTRANGE(""https://docs.google.com/spreadsheets/d/1yGy89TWty5kAjAO5OL1fLLQ_DL8fVJHFf2LvMm8qymA/edit?usp=sharing"",""รวมเหนือ!J612"")+IMPORTRANGE(""https://docs.google.com/spreadsheets/d/1bWGR5Y7oTgtZIep2hLdTHG-chM0w9aHBSSpJHwm6lak/edit?usp=sharing"","""&amp;"รวมตะวันออกเฉียงเหนือ!J612"")+IMPORTRANGE(""https://docs.google.com/spreadsheets/d/1dCxWUCc_SKNp-qd8qsaa5pPX_-BuQqWJ_-8FnsS4Ki0/edit?usp=sharing"",""รวมกลาง!J612"")+IMPORTRANGE(""https://docs.google.com/spreadsheets/d/1uOzBKYgpuhMUe0xXQLXSct3xZ80hakAMJHdG"&amp;"Jh9616E/edit?usp=sharing"",""รวมใต้!J612"")"),5528.305)</f>
        <v>5528.3050000000003</v>
      </c>
      <c r="K623" s="163">
        <f t="shared" ca="1" si="144"/>
        <v>82.512014925373137</v>
      </c>
      <c r="L623" s="180"/>
      <c r="M623" s="180"/>
      <c r="N623" s="180"/>
      <c r="O623" s="180"/>
      <c r="P623" s="180"/>
    </row>
    <row r="624" spans="1:16" ht="21.75" customHeight="1" x14ac:dyDescent="0.3">
      <c r="A624" s="174"/>
      <c r="B624" s="175"/>
      <c r="C624" s="175"/>
      <c r="D624" s="192"/>
      <c r="E624" s="196"/>
      <c r="F624" s="194"/>
      <c r="G624" s="288" t="s">
        <v>221</v>
      </c>
      <c r="H624" s="179" t="s">
        <v>121</v>
      </c>
      <c r="I624" s="187">
        <f ca="1">IFERROR(__xludf.DUMMYFUNCTION("IMPORTRANGE(""https://docs.google.com/spreadsheets/d/1yGy89TWty5kAjAO5OL1fLLQ_DL8fVJHFf2LvMm8qymA/edit?usp=sharing"",""รวมเหนือ!I613"")+IMPORTRANGE(""https://docs.google.com/spreadsheets/d/1bWGR5Y7oTgtZIep2hLdTHG-chM0w9aHBSSpJHwm6lak/edit?usp=sharing"","""&amp;"รวมตะวันออกเฉียงเหนือ!I613"")+IMPORTRANGE(""https://docs.google.com/spreadsheets/d/1dCxWUCc_SKNp-qd8qsaa5pPX_-BuQqWJ_-8FnsS4Ki0/edit?usp=sharing"",""รวมกลาง!I613"")+IMPORTRANGE(""https://docs.google.com/spreadsheets/d/1uOzBKYgpuhMUe0xXQLXSct3xZ80hakAMJHdG"&amp;"Jh9616E/edit?usp=sharing"",""รวมใต้!I613"")"),0)</f>
        <v>0</v>
      </c>
      <c r="J624" s="186">
        <f ca="1">IFERROR(__xludf.DUMMYFUNCTION("IMPORTRANGE(""https://docs.google.com/spreadsheets/d/1yGy89TWty5kAjAO5OL1fLLQ_DL8fVJHFf2LvMm8qymA/edit?usp=sharing"",""รวมเหนือ!J613"")+IMPORTRANGE(""https://docs.google.com/spreadsheets/d/1bWGR5Y7oTgtZIep2hLdTHG-chM0w9aHBSSpJHwm6lak/edit?usp=sharing"","""&amp;"รวมตะวันออกเฉียงเหนือ!J613"")+IMPORTRANGE(""https://docs.google.com/spreadsheets/d/1dCxWUCc_SKNp-qd8qsaa5pPX_-BuQqWJ_-8FnsS4Ki0/edit?usp=sharing"",""รวมกลาง!J613"")+IMPORTRANGE(""https://docs.google.com/spreadsheets/d/1uOzBKYgpuhMUe0xXQLXSct3xZ80hakAMJHdG"&amp;"Jh9616E/edit?usp=sharing"",""รวมใต้!J613"")"),4625.15)</f>
        <v>4625.1499999999996</v>
      </c>
      <c r="K624" s="163">
        <f t="shared" ca="1" si="144"/>
        <v>69.032089552238801</v>
      </c>
      <c r="L624" s="180"/>
      <c r="M624" s="180"/>
      <c r="N624" s="180"/>
      <c r="O624" s="180"/>
      <c r="P624" s="180"/>
    </row>
    <row r="625" spans="1:16" ht="21.75" customHeight="1" x14ac:dyDescent="0.3">
      <c r="A625" s="174"/>
      <c r="B625" s="175"/>
      <c r="C625" s="175"/>
      <c r="D625" s="192"/>
      <c r="E625" s="196"/>
      <c r="F625" s="194"/>
      <c r="G625" s="288" t="s">
        <v>222</v>
      </c>
      <c r="H625" s="179" t="s">
        <v>121</v>
      </c>
      <c r="I625" s="187">
        <f ca="1">IFERROR(__xludf.DUMMYFUNCTION("IMPORTRANGE(""https://docs.google.com/spreadsheets/d/1yGy89TWty5kAjAO5OL1fLLQ_DL8fVJHFf2LvMm8qymA/edit?usp=sharing"",""รวมเหนือ!I614"")+IMPORTRANGE(""https://docs.google.com/spreadsheets/d/1bWGR5Y7oTgtZIep2hLdTHG-chM0w9aHBSSpJHwm6lak/edit?usp=sharing"","""&amp;"รวมตะวันออกเฉียงเหนือ!I614"")+IMPORTRANGE(""https://docs.google.com/spreadsheets/d/1dCxWUCc_SKNp-qd8qsaa5pPX_-BuQqWJ_-8FnsS4Ki0/edit?usp=sharing"",""รวมกลาง!I614"")+IMPORTRANGE(""https://docs.google.com/spreadsheets/d/1uOzBKYgpuhMUe0xXQLXSct3xZ80hakAMJHdG"&amp;"Jh9616E/edit?usp=sharing"",""รวมใต้!I614"")"),0)</f>
        <v>0</v>
      </c>
      <c r="J625" s="186">
        <f ca="1">IFERROR(__xludf.DUMMYFUNCTION("IMPORTRANGE(""https://docs.google.com/spreadsheets/d/1yGy89TWty5kAjAO5OL1fLLQ_DL8fVJHFf2LvMm8qymA/edit?usp=sharing"",""รวมเหนือ!J614"")+IMPORTRANGE(""https://docs.google.com/spreadsheets/d/1bWGR5Y7oTgtZIep2hLdTHG-chM0w9aHBSSpJHwm6lak/edit?usp=sharing"","""&amp;"รวมตะวันออกเฉียงเหนือ!J614"")+IMPORTRANGE(""https://docs.google.com/spreadsheets/d/1dCxWUCc_SKNp-qd8qsaa5pPX_-BuQqWJ_-8FnsS4Ki0/edit?usp=sharing"",""รวมกลาง!J614"")+IMPORTRANGE(""https://docs.google.com/spreadsheets/d/1uOzBKYgpuhMUe0xXQLXSct3xZ80hakAMJHdG"&amp;"Jh9616E/edit?usp=sharing"",""รวมใต้!J614"")"),3672.52)</f>
        <v>3672.52</v>
      </c>
      <c r="K625" s="163">
        <f t="shared" ca="1" si="144"/>
        <v>54.813731343283585</v>
      </c>
      <c r="L625" s="180"/>
      <c r="M625" s="180"/>
      <c r="N625" s="180"/>
      <c r="O625" s="180"/>
      <c r="P625" s="180"/>
    </row>
    <row r="626" spans="1:16" ht="21.75" customHeight="1" x14ac:dyDescent="0.3">
      <c r="A626" s="174"/>
      <c r="B626" s="175"/>
      <c r="C626" s="175"/>
      <c r="D626" s="192"/>
      <c r="E626" s="196"/>
      <c r="F626" s="194"/>
      <c r="G626" s="288" t="s">
        <v>223</v>
      </c>
      <c r="H626" s="179" t="s">
        <v>121</v>
      </c>
      <c r="I626" s="187">
        <f ca="1">IFERROR(__xludf.DUMMYFUNCTION("IMPORTRANGE(""https://docs.google.com/spreadsheets/d/1yGy89TWty5kAjAO5OL1fLLQ_DL8fVJHFf2LvMm8qymA/edit?usp=sharing"",""รวมเหนือ!I615"")+IMPORTRANGE(""https://docs.google.com/spreadsheets/d/1bWGR5Y7oTgtZIep2hLdTHG-chM0w9aHBSSpJHwm6lak/edit?usp=sharing"","""&amp;"รวมตะวันออกเฉียงเหนือ!I615"")+IMPORTRANGE(""https://docs.google.com/spreadsheets/d/1dCxWUCc_SKNp-qd8qsaa5pPX_-BuQqWJ_-8FnsS4Ki0/edit?usp=sharing"",""รวมกลาง!I615"")+IMPORTRANGE(""https://docs.google.com/spreadsheets/d/1uOzBKYgpuhMUe0xXQLXSct3xZ80hakAMJHdG"&amp;"Jh9616E/edit?usp=sharing"",""รวมใต้!I615"")"),0)</f>
        <v>0</v>
      </c>
      <c r="J626" s="186">
        <f ca="1">IFERROR(__xludf.DUMMYFUNCTION("IMPORTRANGE(""https://docs.google.com/spreadsheets/d/1yGy89TWty5kAjAO5OL1fLLQ_DL8fVJHFf2LvMm8qymA/edit?usp=sharing"",""รวมเหนือ!J615"")+IMPORTRANGE(""https://docs.google.com/spreadsheets/d/1bWGR5Y7oTgtZIep2hLdTHG-chM0w9aHBSSpJHwm6lak/edit?usp=sharing"","""&amp;"รวมตะวันออกเฉียงเหนือ!J615"")+IMPORTRANGE(""https://docs.google.com/spreadsheets/d/1dCxWUCc_SKNp-qd8qsaa5pPX_-BuQqWJ_-8FnsS4Ki0/edit?usp=sharing"",""รวมกลาง!J615"")+IMPORTRANGE(""https://docs.google.com/spreadsheets/d/1uOzBKYgpuhMUe0xXQLXSct3xZ80hakAMJHdG"&amp;"Jh9616E/edit?usp=sharing"",""รวมใต้!J615"")"),2758.52)</f>
        <v>2758.52</v>
      </c>
      <c r="K626" s="163">
        <f t="shared" ca="1" si="144"/>
        <v>41.171940298507465</v>
      </c>
      <c r="L626" s="180"/>
      <c r="M626" s="180"/>
      <c r="N626" s="180"/>
      <c r="O626" s="180"/>
      <c r="P626" s="180"/>
    </row>
    <row r="627" spans="1:16" ht="21.75" customHeight="1" x14ac:dyDescent="0.3">
      <c r="A627" s="174"/>
      <c r="B627" s="175"/>
      <c r="C627" s="175"/>
      <c r="D627" s="192"/>
      <c r="E627" s="196"/>
      <c r="F627" s="194"/>
      <c r="G627" s="193" t="s">
        <v>224</v>
      </c>
      <c r="H627" s="179" t="s">
        <v>121</v>
      </c>
      <c r="I627" s="187">
        <f ca="1">IFERROR(__xludf.DUMMYFUNCTION("IMPORTRANGE(""https://docs.google.com/spreadsheets/d/1yGy89TWty5kAjAO5OL1fLLQ_DL8fVJHFf2LvMm8qymA/edit?usp=sharing"",""รวมเหนือ!I616"")+IMPORTRANGE(""https://docs.google.com/spreadsheets/d/1bWGR5Y7oTgtZIep2hLdTHG-chM0w9aHBSSpJHwm6lak/edit?usp=sharing"","""&amp;"รวมตะวันออกเฉียงเหนือ!I616"")+IMPORTRANGE(""https://docs.google.com/spreadsheets/d/1dCxWUCc_SKNp-qd8qsaa5pPX_-BuQqWJ_-8FnsS4Ki0/edit?usp=sharing"",""รวมกลาง!I616"")+IMPORTRANGE(""https://docs.google.com/spreadsheets/d/1uOzBKYgpuhMUe0xXQLXSct3xZ80hakAMJHdG"&amp;"Jh9616E/edit?usp=sharing"",""รวมใต้!I616"")"),0)</f>
        <v>0</v>
      </c>
      <c r="J627" s="186">
        <f ca="1">IFERROR(__xludf.DUMMYFUNCTION("IMPORTRANGE(""https://docs.google.com/spreadsheets/d/1yGy89TWty5kAjAO5OL1fLLQ_DL8fVJHFf2LvMm8qymA/edit?usp=sharing"",""รวมเหนือ!J616"")+IMPORTRANGE(""https://docs.google.com/spreadsheets/d/1bWGR5Y7oTgtZIep2hLdTHG-chM0w9aHBSSpJHwm6lak/edit?usp=sharing"","""&amp;"รวมตะวันออกเฉียงเหนือ!J616"")+IMPORTRANGE(""https://docs.google.com/spreadsheets/d/1dCxWUCc_SKNp-qd8qsaa5pPX_-BuQqWJ_-8FnsS4Ki0/edit?usp=sharing"",""รวมกลาง!J616"")+IMPORTRANGE(""https://docs.google.com/spreadsheets/d/1uOzBKYgpuhMUe0xXQLXSct3xZ80hakAMJHdG"&amp;"Jh9616E/edit?usp=sharing"",""รวมใต้!J616"")"),483)</f>
        <v>483</v>
      </c>
      <c r="K627" s="163">
        <f t="shared" ca="1" si="144"/>
        <v>7.2089552238805972</v>
      </c>
      <c r="L627" s="180"/>
      <c r="M627" s="180"/>
      <c r="N627" s="180"/>
      <c r="O627" s="180"/>
      <c r="P627" s="180"/>
    </row>
    <row r="628" spans="1:16" ht="21.75" customHeight="1" x14ac:dyDescent="0.3">
      <c r="A628" s="174"/>
      <c r="B628" s="175"/>
      <c r="C628" s="175"/>
      <c r="D628" s="192"/>
      <c r="E628" s="196"/>
      <c r="F628" s="194"/>
      <c r="G628" s="193" t="s">
        <v>225</v>
      </c>
      <c r="H628" s="179" t="s">
        <v>121</v>
      </c>
      <c r="I628" s="186">
        <f ca="1">IFERROR(__xludf.DUMMYFUNCTION("IMPORTRANGE(""https://docs.google.com/spreadsheets/d/1yGy89TWty5kAjAO5OL1fLLQ_DL8fVJHFf2LvMm8qymA/edit?usp=sharing"",""รวมเหนือ!I617"")+IMPORTRANGE(""https://docs.google.com/spreadsheets/d/1bWGR5Y7oTgtZIep2hLdTHG-chM0w9aHBSSpJHwm6lak/edit?usp=sharing"","""&amp;"รวมตะวันออกเฉียงเหนือ!I617"")+IMPORTRANGE(""https://docs.google.com/spreadsheets/d/1dCxWUCc_SKNp-qd8qsaa5pPX_-BuQqWJ_-8FnsS4Ki0/edit?usp=sharing"",""รวมกลาง!I617"")+IMPORTRANGE(""https://docs.google.com/spreadsheets/d/1uOzBKYgpuhMUe0xXQLXSct3xZ80hakAMJHdG"&amp;"Jh9616E/edit?usp=sharing"",""รวมใต้!I617"")"),0)</f>
        <v>0</v>
      </c>
      <c r="J628" s="186">
        <f ca="1">IFERROR(__xludf.DUMMYFUNCTION("IMPORTRANGE(""https://docs.google.com/spreadsheets/d/1yGy89TWty5kAjAO5OL1fLLQ_DL8fVJHFf2LvMm8qymA/edit?usp=sharing"",""รวมเหนือ!J617"")+IMPORTRANGE(""https://docs.google.com/spreadsheets/d/1bWGR5Y7oTgtZIep2hLdTHG-chM0w9aHBSSpJHwm6lak/edit?usp=sharing"","""&amp;"รวมตะวันออกเฉียงเหนือ!J617"")+IMPORTRANGE(""https://docs.google.com/spreadsheets/d/1dCxWUCc_SKNp-qd8qsaa5pPX_-BuQqWJ_-8FnsS4Ki0/edit?usp=sharing"",""รวมกลาง!J617"")+IMPORTRANGE(""https://docs.google.com/spreadsheets/d/1uOzBKYgpuhMUe0xXQLXSct3xZ80hakAMJHdG"&amp;"Jh9616E/edit?usp=sharing"",""รวมใต้!J617"")"),0)</f>
        <v>0</v>
      </c>
      <c r="K628" s="163">
        <f t="shared" ca="1" si="144"/>
        <v>0</v>
      </c>
      <c r="L628" s="180"/>
      <c r="M628" s="180"/>
      <c r="N628" s="180"/>
      <c r="O628" s="180"/>
      <c r="P628" s="180"/>
    </row>
    <row r="629" spans="1:16" ht="21.75" customHeight="1" x14ac:dyDescent="0.3">
      <c r="A629" s="174"/>
      <c r="B629" s="175"/>
      <c r="C629" s="175"/>
      <c r="D629" s="192"/>
      <c r="E629" s="196"/>
      <c r="F629" s="194"/>
      <c r="G629" s="497" t="s">
        <v>226</v>
      </c>
      <c r="H629" s="179" t="s">
        <v>121</v>
      </c>
      <c r="I629" s="187">
        <f ca="1">IFERROR(__xludf.DUMMYFUNCTION("IMPORTRANGE(""https://docs.google.com/spreadsheets/d/1yGy89TWty5kAjAO5OL1fLLQ_DL8fVJHFf2LvMm8qymA/edit?usp=sharing"",""รวมเหนือ!I618"")+IMPORTRANGE(""https://docs.google.com/spreadsheets/d/1bWGR5Y7oTgtZIep2hLdTHG-chM0w9aHBSSpJHwm6lak/edit?usp=sharing"","""&amp;"รวมตะวันออกเฉียงเหนือ!I618"")+IMPORTRANGE(""https://docs.google.com/spreadsheets/d/1dCxWUCc_SKNp-qd8qsaa5pPX_-BuQqWJ_-8FnsS4Ki0/edit?usp=sharing"",""รวมกลาง!I618"")+IMPORTRANGE(""https://docs.google.com/spreadsheets/d/1uOzBKYgpuhMUe0xXQLXSct3xZ80hakAMJHdG"&amp;"Jh9616E/edit?usp=sharing"",""รวมใต้!I618"")"),0)</f>
        <v>0</v>
      </c>
      <c r="J629" s="187">
        <f ca="1">IFERROR(__xludf.DUMMYFUNCTION("IMPORTRANGE(""https://docs.google.com/spreadsheets/d/1yGy89TWty5kAjAO5OL1fLLQ_DL8fVJHFf2LvMm8qymA/edit?usp=sharing"",""รวมเหนือ!J618"")+IMPORTRANGE(""https://docs.google.com/spreadsheets/d/1bWGR5Y7oTgtZIep2hLdTHG-chM0w9aHBSSpJHwm6lak/edit?usp=sharing"","""&amp;"รวมตะวันออกเฉียงเหนือ!J618"")+IMPORTRANGE(""https://docs.google.com/spreadsheets/d/1dCxWUCc_SKNp-qd8qsaa5pPX_-BuQqWJ_-8FnsS4Ki0/edit?usp=sharing"",""รวมกลาง!J618"")+IMPORTRANGE(""https://docs.google.com/spreadsheets/d/1uOzBKYgpuhMUe0xXQLXSct3xZ80hakAMJHdG"&amp;"Jh9616E/edit?usp=sharing"",""รวมใต้!J618"")"),0)</f>
        <v>0</v>
      </c>
      <c r="K629" s="163">
        <f t="shared" ca="1" si="144"/>
        <v>0</v>
      </c>
      <c r="L629" s="180"/>
      <c r="M629" s="180"/>
      <c r="N629" s="180"/>
      <c r="O629" s="180"/>
      <c r="P629" s="180"/>
    </row>
    <row r="630" spans="1:16" ht="21.75" customHeight="1" x14ac:dyDescent="0.3">
      <c r="A630" s="174"/>
      <c r="B630" s="175"/>
      <c r="C630" s="175"/>
      <c r="D630" s="192"/>
      <c r="E630" s="196"/>
      <c r="F630" s="194"/>
      <c r="G630" s="497" t="s">
        <v>227</v>
      </c>
      <c r="H630" s="179" t="s">
        <v>121</v>
      </c>
      <c r="I630" s="187">
        <f ca="1">IFERROR(__xludf.DUMMYFUNCTION("IMPORTRANGE(""https://docs.google.com/spreadsheets/d/1yGy89TWty5kAjAO5OL1fLLQ_DL8fVJHFf2LvMm8qymA/edit?usp=sharing"",""รวมเหนือ!I619"")+IMPORTRANGE(""https://docs.google.com/spreadsheets/d/1bWGR5Y7oTgtZIep2hLdTHG-chM0w9aHBSSpJHwm6lak/edit?usp=sharing"","""&amp;"รวมตะวันออกเฉียงเหนือ!I619"")+IMPORTRANGE(""https://docs.google.com/spreadsheets/d/1dCxWUCc_SKNp-qd8qsaa5pPX_-BuQqWJ_-8FnsS4Ki0/edit?usp=sharing"",""รวมกลาง!I619"")+IMPORTRANGE(""https://docs.google.com/spreadsheets/d/1uOzBKYgpuhMUe0xXQLXSct3xZ80hakAMJHdG"&amp;"Jh9616E/edit?usp=sharing"",""รวมใต้!I619"")"),0)</f>
        <v>0</v>
      </c>
      <c r="J630" s="187">
        <f ca="1">IFERROR(__xludf.DUMMYFUNCTION("IMPORTRANGE(""https://docs.google.com/spreadsheets/d/1yGy89TWty5kAjAO5OL1fLLQ_DL8fVJHFf2LvMm8qymA/edit?usp=sharing"",""รวมเหนือ!J619"")+IMPORTRANGE(""https://docs.google.com/spreadsheets/d/1bWGR5Y7oTgtZIep2hLdTHG-chM0w9aHBSSpJHwm6lak/edit?usp=sharing"","""&amp;"รวมตะวันออกเฉียงเหนือ!J619"")+IMPORTRANGE(""https://docs.google.com/spreadsheets/d/1dCxWUCc_SKNp-qd8qsaa5pPX_-BuQqWJ_-8FnsS4Ki0/edit?usp=sharing"",""รวมกลาง!J619"")+IMPORTRANGE(""https://docs.google.com/spreadsheets/d/1uOzBKYgpuhMUe0xXQLXSct3xZ80hakAMJHdG"&amp;"Jh9616E/edit?usp=sharing"",""รวมใต้!J619"")"),0)</f>
        <v>0</v>
      </c>
      <c r="K630" s="163">
        <f t="shared" ca="1" si="144"/>
        <v>0</v>
      </c>
      <c r="L630" s="180"/>
      <c r="M630" s="180"/>
      <c r="N630" s="180"/>
      <c r="O630" s="180"/>
      <c r="P630" s="180"/>
    </row>
    <row r="631" spans="1:16" ht="21.75" customHeight="1" x14ac:dyDescent="0.3">
      <c r="A631" s="174"/>
      <c r="B631" s="175"/>
      <c r="C631" s="175"/>
      <c r="D631" s="192"/>
      <c r="E631" s="194"/>
      <c r="F631" s="193" t="s">
        <v>228</v>
      </c>
      <c r="G631" s="195"/>
      <c r="H631" s="179" t="s">
        <v>121</v>
      </c>
      <c r="I631" s="186">
        <f ca="1">IFERROR(__xludf.DUMMYFUNCTION("IMPORTRANGE(""https://docs.google.com/spreadsheets/d/1yGy89TWty5kAjAO5OL1fLLQ_DL8fVJHFf2LvMm8qymA/edit?usp=sharing"",""รวมเหนือ!I620"")+IMPORTRANGE(""https://docs.google.com/spreadsheets/d/1bWGR5Y7oTgtZIep2hLdTHG-chM0w9aHBSSpJHwm6lak/edit?usp=sharing"","""&amp;"รวมตะวันออกเฉียงเหนือ!I620"")+IMPORTRANGE(""https://docs.google.com/spreadsheets/d/1dCxWUCc_SKNp-qd8qsaa5pPX_-BuQqWJ_-8FnsS4Ki0/edit?usp=sharing"",""รวมกลาง!I620"")+IMPORTRANGE(""https://docs.google.com/spreadsheets/d/1uOzBKYgpuhMUe0xXQLXSct3xZ80hakAMJHdG"&amp;"Jh9616E/edit?usp=sharing"",""รวมใต้!I620"")"),6648.84)</f>
        <v>6648.84</v>
      </c>
      <c r="J631" s="187">
        <f ca="1">IFERROR(__xludf.DUMMYFUNCTION("IMPORTRANGE(""https://docs.google.com/spreadsheets/d/1yGy89TWty5kAjAO5OL1fLLQ_DL8fVJHFf2LvMm8qymA/edit?usp=sharing"",""รวมเหนือ!J620"")+IMPORTRANGE(""https://docs.google.com/spreadsheets/d/1bWGR5Y7oTgtZIep2hLdTHG-chM0w9aHBSSpJHwm6lak/edit?usp=sharing"","""&amp;"รวมตะวันออกเฉียงเหนือ!J620"")+IMPORTRANGE(""https://docs.google.com/spreadsheets/d/1dCxWUCc_SKNp-qd8qsaa5pPX_-BuQqWJ_-8FnsS4Ki0/edit?usp=sharing"",""รวมกลาง!J620"")+IMPORTRANGE(""https://docs.google.com/spreadsheets/d/1uOzBKYgpuhMUe0xXQLXSct3xZ80hakAMJHdG"&amp;"Jh9616E/edit?usp=sharing"",""รวมใต้!J620"")"),267)</f>
        <v>267</v>
      </c>
      <c r="K631" s="163">
        <f t="shared" ref="K631:K637" ca="1" si="145">IF(I$631&gt;0,J631*100/I$631,0)</f>
        <v>4.0157380836356413</v>
      </c>
      <c r="L631" s="180"/>
      <c r="M631" s="180"/>
      <c r="N631" s="180"/>
      <c r="O631" s="180"/>
      <c r="P631" s="180"/>
    </row>
    <row r="632" spans="1:16" ht="21.75" customHeight="1" x14ac:dyDescent="0.3">
      <c r="A632" s="174"/>
      <c r="B632" s="175"/>
      <c r="C632" s="175"/>
      <c r="D632" s="192"/>
      <c r="E632" s="196"/>
      <c r="F632" s="194"/>
      <c r="G632" s="288" t="s">
        <v>225</v>
      </c>
      <c r="H632" s="179" t="s">
        <v>121</v>
      </c>
      <c r="I632" s="200">
        <f ca="1">IFERROR(__xludf.DUMMYFUNCTION("IMPORTRANGE(""https://docs.google.com/spreadsheets/d/1yGy89TWty5kAjAO5OL1fLLQ_DL8fVJHFf2LvMm8qymA/edit?usp=sharing"",""รวมเหนือ!I621"")+IMPORTRANGE(""https://docs.google.com/spreadsheets/d/1bWGR5Y7oTgtZIep2hLdTHG-chM0w9aHBSSpJHwm6lak/edit?usp=sharing"","""&amp;"รวมตะวันออกเฉียงเหนือ!I621"")+IMPORTRANGE(""https://docs.google.com/spreadsheets/d/1dCxWUCc_SKNp-qd8qsaa5pPX_-BuQqWJ_-8FnsS4Ki0/edit?usp=sharing"",""รวมกลาง!I621"")+IMPORTRANGE(""https://docs.google.com/spreadsheets/d/1uOzBKYgpuhMUe0xXQLXSct3xZ80hakAMJHdG"&amp;"Jh9616E/edit?usp=sharing"",""รวมใต้!I621"")"),0)</f>
        <v>0</v>
      </c>
      <c r="J632" s="187">
        <f ca="1">IFERROR(__xludf.DUMMYFUNCTION("IMPORTRANGE(""https://docs.google.com/spreadsheets/d/1yGy89TWty5kAjAO5OL1fLLQ_DL8fVJHFf2LvMm8qymA/edit?usp=sharing"",""รวมเหนือ!J621"")+IMPORTRANGE(""https://docs.google.com/spreadsheets/d/1bWGR5Y7oTgtZIep2hLdTHG-chM0w9aHBSSpJHwm6lak/edit?usp=sharing"","""&amp;"รวมตะวันออกเฉียงเหนือ!J621"")+IMPORTRANGE(""https://docs.google.com/spreadsheets/d/1dCxWUCc_SKNp-qd8qsaa5pPX_-BuQqWJ_-8FnsS4Ki0/edit?usp=sharing"",""รวมกลาง!J621"")+IMPORTRANGE(""https://docs.google.com/spreadsheets/d/1uOzBKYgpuhMUe0xXQLXSct3xZ80hakAMJHdG"&amp;"Jh9616E/edit?usp=sharing"",""รวมใต้!J621"")"),267)</f>
        <v>267</v>
      </c>
      <c r="K632" s="163">
        <f t="shared" ca="1" si="145"/>
        <v>4.0157380836356413</v>
      </c>
      <c r="L632" s="180"/>
      <c r="M632" s="180"/>
      <c r="N632" s="180"/>
      <c r="O632" s="180"/>
      <c r="P632" s="180"/>
    </row>
    <row r="633" spans="1:16" ht="21.75" customHeight="1" x14ac:dyDescent="0.3">
      <c r="A633" s="174"/>
      <c r="B633" s="175"/>
      <c r="C633" s="175"/>
      <c r="D633" s="192"/>
      <c r="E633" s="196"/>
      <c r="F633" s="194"/>
      <c r="G633" s="497" t="s">
        <v>226</v>
      </c>
      <c r="H633" s="179" t="s">
        <v>121</v>
      </c>
      <c r="I633" s="187">
        <f ca="1">IFERROR(__xludf.DUMMYFUNCTION("IMPORTRANGE(""https://docs.google.com/spreadsheets/d/1yGy89TWty5kAjAO5OL1fLLQ_DL8fVJHFf2LvMm8qymA/edit?usp=sharing"",""รวมเหนือ!I622"")+IMPORTRANGE(""https://docs.google.com/spreadsheets/d/1bWGR5Y7oTgtZIep2hLdTHG-chM0w9aHBSSpJHwm6lak/edit?usp=sharing"","""&amp;"รวมตะวันออกเฉียงเหนือ!I622"")+IMPORTRANGE(""https://docs.google.com/spreadsheets/d/1dCxWUCc_SKNp-qd8qsaa5pPX_-BuQqWJ_-8FnsS4Ki0/edit?usp=sharing"",""รวมกลาง!I622"")+IMPORTRANGE(""https://docs.google.com/spreadsheets/d/1uOzBKYgpuhMUe0xXQLXSct3xZ80hakAMJHdG"&amp;"Jh9616E/edit?usp=sharing"",""รวมใต้!I622"")"),0)</f>
        <v>0</v>
      </c>
      <c r="J633" s="187">
        <f ca="1">IFERROR(__xludf.DUMMYFUNCTION("IMPORTRANGE(""https://docs.google.com/spreadsheets/d/1yGy89TWty5kAjAO5OL1fLLQ_DL8fVJHFf2LvMm8qymA/edit?usp=sharing"",""รวมเหนือ!J622"")+IMPORTRANGE(""https://docs.google.com/spreadsheets/d/1bWGR5Y7oTgtZIep2hLdTHG-chM0w9aHBSSpJHwm6lak/edit?usp=sharing"","""&amp;"รวมตะวันออกเฉียงเหนือ!J622"")+IMPORTRANGE(""https://docs.google.com/spreadsheets/d/1dCxWUCc_SKNp-qd8qsaa5pPX_-BuQqWJ_-8FnsS4Ki0/edit?usp=sharing"",""รวมกลาง!J622"")+IMPORTRANGE(""https://docs.google.com/spreadsheets/d/1uOzBKYgpuhMUe0xXQLXSct3xZ80hakAMJHdG"&amp;"Jh9616E/edit?usp=sharing"",""รวมใต้!J622"")"),125)</f>
        <v>125</v>
      </c>
      <c r="K633" s="163">
        <f t="shared" ca="1" si="145"/>
        <v>1.8800271927133154</v>
      </c>
      <c r="L633" s="180"/>
      <c r="M633" s="180"/>
      <c r="N633" s="180"/>
      <c r="O633" s="180"/>
      <c r="P633" s="180"/>
    </row>
    <row r="634" spans="1:16" ht="21.75" customHeight="1" x14ac:dyDescent="0.3">
      <c r="A634" s="174"/>
      <c r="B634" s="175"/>
      <c r="C634" s="175"/>
      <c r="D634" s="192"/>
      <c r="E634" s="196"/>
      <c r="F634" s="194"/>
      <c r="G634" s="497" t="s">
        <v>227</v>
      </c>
      <c r="H634" s="179" t="s">
        <v>121</v>
      </c>
      <c r="I634" s="187">
        <f ca="1">IFERROR(__xludf.DUMMYFUNCTION("IMPORTRANGE(""https://docs.google.com/spreadsheets/d/1yGy89TWty5kAjAO5OL1fLLQ_DL8fVJHFf2LvMm8qymA/edit?usp=sharing"",""รวมเหนือ!I623"")+IMPORTRANGE(""https://docs.google.com/spreadsheets/d/1bWGR5Y7oTgtZIep2hLdTHG-chM0w9aHBSSpJHwm6lak/edit?usp=sharing"","""&amp;"รวมตะวันออกเฉียงเหนือ!I623"")+IMPORTRANGE(""https://docs.google.com/spreadsheets/d/1dCxWUCc_SKNp-qd8qsaa5pPX_-BuQqWJ_-8FnsS4Ki0/edit?usp=sharing"",""รวมกลาง!I623"")+IMPORTRANGE(""https://docs.google.com/spreadsheets/d/1uOzBKYgpuhMUe0xXQLXSct3xZ80hakAMJHdG"&amp;"Jh9616E/edit?usp=sharing"",""รวมใต้!I623"")"),0)</f>
        <v>0</v>
      </c>
      <c r="J634" s="187">
        <f ca="1">IFERROR(__xludf.DUMMYFUNCTION("IMPORTRANGE(""https://docs.google.com/spreadsheets/d/1yGy89TWty5kAjAO5OL1fLLQ_DL8fVJHFf2LvMm8qymA/edit?usp=sharing"",""รวมเหนือ!J623"")+IMPORTRANGE(""https://docs.google.com/spreadsheets/d/1bWGR5Y7oTgtZIep2hLdTHG-chM0w9aHBSSpJHwm6lak/edit?usp=sharing"","""&amp;"รวมตะวันออกเฉียงเหนือ!J623"")+IMPORTRANGE(""https://docs.google.com/spreadsheets/d/1dCxWUCc_SKNp-qd8qsaa5pPX_-BuQqWJ_-8FnsS4Ki0/edit?usp=sharing"",""รวมกลาง!J623"")+IMPORTRANGE(""https://docs.google.com/spreadsheets/d/1uOzBKYgpuhMUe0xXQLXSct3xZ80hakAMJHdG"&amp;"Jh9616E/edit?usp=sharing"",""รวมใต้!J623"")"),142)</f>
        <v>142</v>
      </c>
      <c r="K634" s="163">
        <f t="shared" ca="1" si="145"/>
        <v>2.1357108909223261</v>
      </c>
      <c r="L634" s="180"/>
      <c r="M634" s="180"/>
      <c r="N634" s="180"/>
      <c r="O634" s="180"/>
      <c r="P634" s="180"/>
    </row>
    <row r="635" spans="1:16" ht="21.75" customHeight="1" x14ac:dyDescent="0.3">
      <c r="A635" s="174"/>
      <c r="B635" s="175"/>
      <c r="C635" s="175"/>
      <c r="D635" s="192"/>
      <c r="E635" s="196"/>
      <c r="F635" s="194"/>
      <c r="G635" s="288" t="s">
        <v>229</v>
      </c>
      <c r="H635" s="179" t="s">
        <v>121</v>
      </c>
      <c r="I635" s="186">
        <f ca="1">IFERROR(__xludf.DUMMYFUNCTION("IMPORTRANGE(""https://docs.google.com/spreadsheets/d/1yGy89TWty5kAjAO5OL1fLLQ_DL8fVJHFf2LvMm8qymA/edit?usp=sharing"",""รวมเหนือ!I624"")+IMPORTRANGE(""https://docs.google.com/spreadsheets/d/1bWGR5Y7oTgtZIep2hLdTHG-chM0w9aHBSSpJHwm6lak/edit?usp=sharing"","""&amp;"รวมตะวันออกเฉียงเหนือ!I624"")+IMPORTRANGE(""https://docs.google.com/spreadsheets/d/1dCxWUCc_SKNp-qd8qsaa5pPX_-BuQqWJ_-8FnsS4Ki0/edit?usp=sharing"",""รวมกลาง!I624"")+IMPORTRANGE(""https://docs.google.com/spreadsheets/d/1uOzBKYgpuhMUe0xXQLXSct3xZ80hakAMJHdG"&amp;"Jh9616E/edit?usp=sharing"",""รวมใต้!I624"")"),0)</f>
        <v>0</v>
      </c>
      <c r="J635" s="186">
        <f ca="1">IFERROR(__xludf.DUMMYFUNCTION("IMPORTRANGE(""https://docs.google.com/spreadsheets/d/1yGy89TWty5kAjAO5OL1fLLQ_DL8fVJHFf2LvMm8qymA/edit?usp=sharing"",""รวมเหนือ!J624"")+IMPORTRANGE(""https://docs.google.com/spreadsheets/d/1bWGR5Y7oTgtZIep2hLdTHG-chM0w9aHBSSpJHwm6lak/edit?usp=sharing"","""&amp;"รวมตะวันออกเฉียงเหนือ!J624"")+IMPORTRANGE(""https://docs.google.com/spreadsheets/d/1dCxWUCc_SKNp-qd8qsaa5pPX_-BuQqWJ_-8FnsS4Ki0/edit?usp=sharing"",""รวมกลาง!J624"")+IMPORTRANGE(""https://docs.google.com/spreadsheets/d/1uOzBKYgpuhMUe0xXQLXSct3xZ80hakAMJHdG"&amp;"Jh9616E/edit?usp=sharing"",""รวมใต้!J624"")"),267)</f>
        <v>267</v>
      </c>
      <c r="K635" s="163">
        <f t="shared" ca="1" si="145"/>
        <v>4.0157380836356413</v>
      </c>
      <c r="L635" s="180"/>
      <c r="M635" s="180"/>
      <c r="N635" s="180"/>
      <c r="O635" s="180"/>
      <c r="P635" s="180"/>
    </row>
    <row r="636" spans="1:16" ht="21.75" customHeight="1" x14ac:dyDescent="0.3">
      <c r="A636" s="174"/>
      <c r="B636" s="175"/>
      <c r="C636" s="175"/>
      <c r="D636" s="192"/>
      <c r="E636" s="196"/>
      <c r="F636" s="194"/>
      <c r="G636" s="497" t="s">
        <v>230</v>
      </c>
      <c r="H636" s="179" t="s">
        <v>121</v>
      </c>
      <c r="I636" s="187">
        <f ca="1">IFERROR(__xludf.DUMMYFUNCTION("IMPORTRANGE(""https://docs.google.com/spreadsheets/d/1yGy89TWty5kAjAO5OL1fLLQ_DL8fVJHFf2LvMm8qymA/edit?usp=sharing"",""รวมเหนือ!I625"")+IMPORTRANGE(""https://docs.google.com/spreadsheets/d/1bWGR5Y7oTgtZIep2hLdTHG-chM0w9aHBSSpJHwm6lak/edit?usp=sharing"","""&amp;"รวมตะวันออกเฉียงเหนือ!I625"")+IMPORTRANGE(""https://docs.google.com/spreadsheets/d/1dCxWUCc_SKNp-qd8qsaa5pPX_-BuQqWJ_-8FnsS4Ki0/edit?usp=sharing"",""รวมกลาง!I625"")+IMPORTRANGE(""https://docs.google.com/spreadsheets/d/1uOzBKYgpuhMUe0xXQLXSct3xZ80hakAMJHdG"&amp;"Jh9616E/edit?usp=sharing"",""รวมใต้!I625"")"),0)</f>
        <v>0</v>
      </c>
      <c r="J636" s="187">
        <f ca="1">IFERROR(__xludf.DUMMYFUNCTION("IMPORTRANGE(""https://docs.google.com/spreadsheets/d/1yGy89TWty5kAjAO5OL1fLLQ_DL8fVJHFf2LvMm8qymA/edit?usp=sharing"",""รวมเหนือ!J625"")+IMPORTRANGE(""https://docs.google.com/spreadsheets/d/1bWGR5Y7oTgtZIep2hLdTHG-chM0w9aHBSSpJHwm6lak/edit?usp=sharing"","""&amp;"รวมตะวันออกเฉียงเหนือ!J625"")+IMPORTRANGE(""https://docs.google.com/spreadsheets/d/1dCxWUCc_SKNp-qd8qsaa5pPX_-BuQqWJ_-8FnsS4Ki0/edit?usp=sharing"",""รวมกลาง!J625"")+IMPORTRANGE(""https://docs.google.com/spreadsheets/d/1uOzBKYgpuhMUe0xXQLXSct3xZ80hakAMJHdG"&amp;"Jh9616E/edit?usp=sharing"",""รวมใต้!J625"")"),248)</f>
        <v>248</v>
      </c>
      <c r="K636" s="163">
        <f t="shared" ca="1" si="145"/>
        <v>3.7299739503432177</v>
      </c>
      <c r="L636" s="180"/>
      <c r="M636" s="180"/>
      <c r="N636" s="180"/>
      <c r="O636" s="180"/>
      <c r="P636" s="180"/>
    </row>
    <row r="637" spans="1:16" ht="21.75" customHeight="1" x14ac:dyDescent="0.3">
      <c r="A637" s="174"/>
      <c r="B637" s="175"/>
      <c r="C637" s="175"/>
      <c r="D637" s="192"/>
      <c r="E637" s="196"/>
      <c r="F637" s="194"/>
      <c r="G637" s="497" t="s">
        <v>231</v>
      </c>
      <c r="H637" s="179" t="s">
        <v>121</v>
      </c>
      <c r="I637" s="187">
        <f ca="1">IFERROR(__xludf.DUMMYFUNCTION("IMPORTRANGE(""https://docs.google.com/spreadsheets/d/1yGy89TWty5kAjAO5OL1fLLQ_DL8fVJHFf2LvMm8qymA/edit?usp=sharing"",""รวมเหนือ!I626"")+IMPORTRANGE(""https://docs.google.com/spreadsheets/d/1bWGR5Y7oTgtZIep2hLdTHG-chM0w9aHBSSpJHwm6lak/edit?usp=sharing"","""&amp;"รวมตะวันออกเฉียงเหนือ!I626"")+IMPORTRANGE(""https://docs.google.com/spreadsheets/d/1dCxWUCc_SKNp-qd8qsaa5pPX_-BuQqWJ_-8FnsS4Ki0/edit?usp=sharing"",""รวมกลาง!I626"")+IMPORTRANGE(""https://docs.google.com/spreadsheets/d/1uOzBKYgpuhMUe0xXQLXSct3xZ80hakAMJHdG"&amp;"Jh9616E/edit?usp=sharing"",""รวมใต้!I626"")"),0)</f>
        <v>0</v>
      </c>
      <c r="J637" s="187">
        <f ca="1">IFERROR(__xludf.DUMMYFUNCTION("IMPORTRANGE(""https://docs.google.com/spreadsheets/d/1yGy89TWty5kAjAO5OL1fLLQ_DL8fVJHFf2LvMm8qymA/edit?usp=sharing"",""รวมเหนือ!J626"")+IMPORTRANGE(""https://docs.google.com/spreadsheets/d/1bWGR5Y7oTgtZIep2hLdTHG-chM0w9aHBSSpJHwm6lak/edit?usp=sharing"","""&amp;"รวมตะวันออกเฉียงเหนือ!J626"")+IMPORTRANGE(""https://docs.google.com/spreadsheets/d/1dCxWUCc_SKNp-qd8qsaa5pPX_-BuQqWJ_-8FnsS4Ki0/edit?usp=sharing"",""รวมกลาง!J626"")+IMPORTRANGE(""https://docs.google.com/spreadsheets/d/1uOzBKYgpuhMUe0xXQLXSct3xZ80hakAMJHdG"&amp;"Jh9616E/edit?usp=sharing"",""รวมใต้!J626"")"),348)</f>
        <v>348</v>
      </c>
      <c r="K637" s="163">
        <f t="shared" ca="1" si="145"/>
        <v>5.2339957045138696</v>
      </c>
      <c r="L637" s="180"/>
      <c r="M637" s="180"/>
      <c r="N637" s="180"/>
      <c r="O637" s="180"/>
      <c r="P637" s="180"/>
    </row>
    <row r="638" spans="1:16" ht="21.75" customHeight="1" x14ac:dyDescent="0.3">
      <c r="A638" s="498" t="str">
        <f ca="1">IFERROR(__xludf.DUMMYFUNCTION("IMPORTRANGE(""https://docs.google.com/spreadsheets/d/1-fhVXPMm30suWK0-eslVgeT9cTVfCsDeUsq7Bk5UZE8/edit?usp=sharing"",""ทั้งประเทศ!A522"")"),"การดำเนินงานกองทุนการปฏิรูปที่ดินเพื่อเกษตรกรรม (ข้อมูลจาก สบท. ข้อมูล ณ 28 ก.พ. 65)")</f>
        <v>การดำเนินงานกองทุนการปฏิรูปที่ดินเพื่อเกษตรกรรม (ข้อมูลจาก สบท. ข้อมูล ณ 28 ก.พ. 65)</v>
      </c>
      <c r="B638" s="499"/>
      <c r="C638" s="499"/>
      <c r="D638" s="499"/>
      <c r="E638" s="499"/>
      <c r="F638" s="499"/>
      <c r="G638" s="500"/>
      <c r="H638" s="501"/>
      <c r="I638" s="502"/>
      <c r="J638" s="502"/>
      <c r="K638" s="503"/>
      <c r="L638" s="503"/>
      <c r="M638" s="503"/>
      <c r="N638" s="503"/>
      <c r="O638" s="504"/>
      <c r="P638" s="504"/>
    </row>
    <row r="639" spans="1:16" ht="21.75" customHeight="1" x14ac:dyDescent="0.3">
      <c r="A639" s="484"/>
      <c r="B639" s="505" t="s">
        <v>232</v>
      </c>
      <c r="C639" s="159"/>
      <c r="D639" s="166"/>
      <c r="E639" s="167"/>
      <c r="F639" s="167"/>
      <c r="G639" s="160"/>
      <c r="H639" s="506" t="s">
        <v>12</v>
      </c>
      <c r="I639" s="340">
        <f ca="1">IFERROR(__xludf.DUMMYFUNCTION("IMPORTRANGE(""https://docs.google.com/spreadsheets/d/1yGy89TWty5kAjAO5OL1fLLQ_DL8fVJHFf2LvMm8qymA/edit?usp=sharing"",""รวมเหนือ!I628"")+IMPORTRANGE(""https://docs.google.com/spreadsheets/d/1bWGR5Y7oTgtZIep2hLdTHG-chM0w9aHBSSpJHwm6lak/edit?usp=sharing"","""&amp;"รวมตะวันออกเฉียงเหนือ!I628"")+IMPORTRANGE(""https://docs.google.com/spreadsheets/d/1dCxWUCc_SKNp-qd8qsaa5pPX_-BuQqWJ_-8FnsS4Ki0/edit?usp=sharing"",""รวมกลาง!I628"")+IMPORTRANGE(""https://docs.google.com/spreadsheets/d/1uOzBKYgpuhMUe0xXQLXSct3xZ80hakAMJHdG"&amp;"Jh9616E/edit?usp=sharing"",""รวมใต้!I628"")"),344614628.97)</f>
        <v>344614628.97000003</v>
      </c>
      <c r="J639" s="340">
        <f ca="1">IFERROR(__xludf.DUMMYFUNCTION("IMPORTRANGE(""https://docs.google.com/spreadsheets/d/1yGy89TWty5kAjAO5OL1fLLQ_DL8fVJHFf2LvMm8qymA/edit?usp=sharing"",""รวมเหนือ!J628"")+IMPORTRANGE(""https://docs.google.com/spreadsheets/d/1bWGR5Y7oTgtZIep2hLdTHG-chM0w9aHBSSpJHwm6lak/edit?usp=sharing"","""&amp;"รวมตะวันออกเฉียงเหนือ!J628"")+IMPORTRANGE(""https://docs.google.com/spreadsheets/d/1dCxWUCc_SKNp-qd8qsaa5pPX_-BuQqWJ_-8FnsS4Ki0/edit?usp=sharing"",""รวมกลาง!J628"")+IMPORTRANGE(""https://docs.google.com/spreadsheets/d/1uOzBKYgpuhMUe0xXQLXSct3xZ80hakAMJHdG"&amp;"Jh9616E/edit?usp=sharing"",""รวมใต้!J628"")"),135027526.06)</f>
        <v>135027526.06</v>
      </c>
      <c r="K639" s="341">
        <f t="shared" ref="K639:K646" ca="1" si="146">IF(I639&gt;0,J639*100/I639,0)</f>
        <v>39.182180531214371</v>
      </c>
      <c r="L639" s="341"/>
      <c r="M639" s="341"/>
      <c r="N639" s="341"/>
      <c r="O639" s="165"/>
      <c r="P639" s="165"/>
    </row>
    <row r="640" spans="1:16" ht="21.75" customHeight="1" x14ac:dyDescent="0.3">
      <c r="A640" s="484"/>
      <c r="B640" s="159"/>
      <c r="C640" s="159"/>
      <c r="D640" s="166"/>
      <c r="E640" s="167"/>
      <c r="F640" s="167"/>
      <c r="G640" s="160"/>
      <c r="H640" s="506" t="s">
        <v>37</v>
      </c>
      <c r="I640" s="340">
        <f ca="1">IFERROR(__xludf.DUMMYFUNCTION("IMPORTRANGE(""https://docs.google.com/spreadsheets/d/1yGy89TWty5kAjAO5OL1fLLQ_DL8fVJHFf2LvMm8qymA/edit?usp=sharing"",""รวมเหนือ!I629"")+IMPORTRANGE(""https://docs.google.com/spreadsheets/d/1bWGR5Y7oTgtZIep2hLdTHG-chM0w9aHBSSpJHwm6lak/edit?usp=sharing"","""&amp;"รวมตะวันออกเฉียงเหนือ!I629"")+IMPORTRANGE(""https://docs.google.com/spreadsheets/d/1dCxWUCc_SKNp-qd8qsaa5pPX_-BuQqWJ_-8FnsS4Ki0/edit?usp=sharing"",""รวมกลาง!I629"")+IMPORTRANGE(""https://docs.google.com/spreadsheets/d/1uOzBKYgpuhMUe0xXQLXSct3xZ80hakAMJHdG"&amp;"Jh9616E/edit?usp=sharing"",""รวมใต้!I629"")"),18672)</f>
        <v>18672</v>
      </c>
      <c r="J640" s="340">
        <f ca="1">IFERROR(__xludf.DUMMYFUNCTION("IMPORTRANGE(""https://docs.google.com/spreadsheets/d/1yGy89TWty5kAjAO5OL1fLLQ_DL8fVJHFf2LvMm8qymA/edit?usp=sharing"",""รวมเหนือ!J629"")+IMPORTRANGE(""https://docs.google.com/spreadsheets/d/1bWGR5Y7oTgtZIep2hLdTHG-chM0w9aHBSSpJHwm6lak/edit?usp=sharing"","""&amp;"รวมตะวันออกเฉียงเหนือ!J629"")+IMPORTRANGE(""https://docs.google.com/spreadsheets/d/1dCxWUCc_SKNp-qd8qsaa5pPX_-BuQqWJ_-8FnsS4Ki0/edit?usp=sharing"",""รวมกลาง!J629"")+IMPORTRANGE(""https://docs.google.com/spreadsheets/d/1uOzBKYgpuhMUe0xXQLXSct3xZ80hakAMJHdG"&amp;"Jh9616E/edit?usp=sharing"",""รวมใต้!J629"")"),7593)</f>
        <v>7593</v>
      </c>
      <c r="K640" s="341">
        <f t="shared" ca="1" si="146"/>
        <v>40.665167095115685</v>
      </c>
      <c r="L640" s="341"/>
      <c r="M640" s="341"/>
      <c r="N640" s="341"/>
      <c r="O640" s="165"/>
      <c r="P640" s="165"/>
    </row>
    <row r="641" spans="1:16" ht="21.75" customHeight="1" x14ac:dyDescent="0.3">
      <c r="A641" s="484"/>
      <c r="B641" s="505" t="s">
        <v>233</v>
      </c>
      <c r="C641" s="159"/>
      <c r="D641" s="166"/>
      <c r="E641" s="167"/>
      <c r="F641" s="167"/>
      <c r="G641" s="160"/>
      <c r="H641" s="506" t="s">
        <v>12</v>
      </c>
      <c r="I641" s="340">
        <f ca="1">IFERROR(__xludf.DUMMYFUNCTION("IMPORTRANGE(""https://docs.google.com/spreadsheets/d/1yGy89TWty5kAjAO5OL1fLLQ_DL8fVJHFf2LvMm8qymA/edit?usp=sharing"",""รวมเหนือ!I630"")+IMPORTRANGE(""https://docs.google.com/spreadsheets/d/1bWGR5Y7oTgtZIep2hLdTHG-chM0w9aHBSSpJHwm6lak/edit?usp=sharing"","""&amp;"รวมตะวันออกเฉียงเหนือ!I630"")+IMPORTRANGE(""https://docs.google.com/spreadsheets/d/1dCxWUCc_SKNp-qd8qsaa5pPX_-BuQqWJ_-8FnsS4Ki0/edit?usp=sharing"",""รวมกลาง!I630"")+IMPORTRANGE(""https://docs.google.com/spreadsheets/d/1uOzBKYgpuhMUe0xXQLXSct3xZ80hakAMJHdG"&amp;"Jh9616E/edit?usp=sharing"",""รวมใต้!I630"")"),425118074.889999)</f>
        <v>425118074.88999897</v>
      </c>
      <c r="J641" s="340">
        <f ca="1">IFERROR(__xludf.DUMMYFUNCTION("IMPORTRANGE(""https://docs.google.com/spreadsheets/d/1yGy89TWty5kAjAO5OL1fLLQ_DL8fVJHFf2LvMm8qymA/edit?usp=sharing"",""รวมเหนือ!J630"")+IMPORTRANGE(""https://docs.google.com/spreadsheets/d/1bWGR5Y7oTgtZIep2hLdTHG-chM0w9aHBSSpJHwm6lak/edit?usp=sharing"","""&amp;"รวมตะวันออกเฉียงเหนือ!J630"")+IMPORTRANGE(""https://docs.google.com/spreadsheets/d/1dCxWUCc_SKNp-qd8qsaa5pPX_-BuQqWJ_-8FnsS4Ki0/edit?usp=sharing"",""รวมกลาง!J630"")+IMPORTRANGE(""https://docs.google.com/spreadsheets/d/1uOzBKYgpuhMUe0xXQLXSct3xZ80hakAMJHdG"&amp;"Jh9616E/edit?usp=sharing"",""รวมใต้!J630"")"),40965302.1)</f>
        <v>40965302.100000001</v>
      </c>
      <c r="K641" s="341">
        <f t="shared" ca="1" si="146"/>
        <v>9.6362174463176942</v>
      </c>
      <c r="L641" s="341"/>
      <c r="M641" s="341"/>
      <c r="N641" s="341"/>
      <c r="O641" s="165"/>
      <c r="P641" s="165"/>
    </row>
    <row r="642" spans="1:16" ht="21.75" customHeight="1" x14ac:dyDescent="0.3">
      <c r="A642" s="484"/>
      <c r="B642" s="159"/>
      <c r="C642" s="159"/>
      <c r="D642" s="166"/>
      <c r="E642" s="167"/>
      <c r="F642" s="167"/>
      <c r="G642" s="160"/>
      <c r="H642" s="506" t="s">
        <v>37</v>
      </c>
      <c r="I642" s="340">
        <f ca="1">IFERROR(__xludf.DUMMYFUNCTION("IMPORTRANGE(""https://docs.google.com/spreadsheets/d/1yGy89TWty5kAjAO5OL1fLLQ_DL8fVJHFf2LvMm8qymA/edit?usp=sharing"",""รวมเหนือ!I631"")+IMPORTRANGE(""https://docs.google.com/spreadsheets/d/1bWGR5Y7oTgtZIep2hLdTHG-chM0w9aHBSSpJHwm6lak/edit?usp=sharing"","""&amp;"รวมตะวันออกเฉียงเหนือ!I631"")+IMPORTRANGE(""https://docs.google.com/spreadsheets/d/1dCxWUCc_SKNp-qd8qsaa5pPX_-BuQqWJ_-8FnsS4Ki0/edit?usp=sharing"",""รวมกลาง!I631"")+IMPORTRANGE(""https://docs.google.com/spreadsheets/d/1uOzBKYgpuhMUe0xXQLXSct3xZ80hakAMJHdG"&amp;"Jh9616E/edit?usp=sharing"",""รวมใต้!I631"")"),16816)</f>
        <v>16816</v>
      </c>
      <c r="J642" s="340">
        <f ca="1">IFERROR(__xludf.DUMMYFUNCTION("IMPORTRANGE(""https://docs.google.com/spreadsheets/d/1yGy89TWty5kAjAO5OL1fLLQ_DL8fVJHFf2LvMm8qymA/edit?usp=sharing"",""รวมเหนือ!J631"")+IMPORTRANGE(""https://docs.google.com/spreadsheets/d/1bWGR5Y7oTgtZIep2hLdTHG-chM0w9aHBSSpJHwm6lak/edit?usp=sharing"","""&amp;"รวมตะวันออกเฉียงเหนือ!J631"")+IMPORTRANGE(""https://docs.google.com/spreadsheets/d/1dCxWUCc_SKNp-qd8qsaa5pPX_-BuQqWJ_-8FnsS4Ki0/edit?usp=sharing"",""รวมกลาง!J631"")+IMPORTRANGE(""https://docs.google.com/spreadsheets/d/1uOzBKYgpuhMUe0xXQLXSct3xZ80hakAMJHdG"&amp;"Jh9616E/edit?usp=sharing"",""รวมใต้!J631"")"),6280)</f>
        <v>6280</v>
      </c>
      <c r="K642" s="341">
        <f t="shared" ca="1" si="146"/>
        <v>37.3453853472883</v>
      </c>
      <c r="L642" s="341"/>
      <c r="M642" s="341"/>
      <c r="N642" s="341"/>
      <c r="O642" s="165"/>
      <c r="P642" s="165"/>
    </row>
    <row r="643" spans="1:16" ht="21.75" customHeight="1" x14ac:dyDescent="0.3">
      <c r="A643" s="484"/>
      <c r="B643" s="505" t="s">
        <v>234</v>
      </c>
      <c r="C643" s="159"/>
      <c r="D643" s="166"/>
      <c r="E643" s="167"/>
      <c r="F643" s="167"/>
      <c r="G643" s="160"/>
      <c r="H643" s="506" t="s">
        <v>12</v>
      </c>
      <c r="I643" s="340">
        <f ca="1">IFERROR(__xludf.DUMMYFUNCTION("IMPORTRANGE(""https://docs.google.com/spreadsheets/d/1yGy89TWty5kAjAO5OL1fLLQ_DL8fVJHFf2LvMm8qymA/edit?usp=sharing"",""รวมเหนือ!I632"")+IMPORTRANGE(""https://docs.google.com/spreadsheets/d/1bWGR5Y7oTgtZIep2hLdTHG-chM0w9aHBSSpJHwm6lak/edit?usp=sharing"","""&amp;"รวมตะวันออกเฉียงเหนือ!I632"")+IMPORTRANGE(""https://docs.google.com/spreadsheets/d/1dCxWUCc_SKNp-qd8qsaa5pPX_-BuQqWJ_-8FnsS4Ki0/edit?usp=sharing"",""รวมกลาง!I632"")+IMPORTRANGE(""https://docs.google.com/spreadsheets/d/1uOzBKYgpuhMUe0xXQLXSct3xZ80hakAMJHdG"&amp;"Jh9616E/edit?usp=sharing"",""รวมใต้!I632"")"),135157289.01)</f>
        <v>135157289.00999999</v>
      </c>
      <c r="J643" s="340">
        <f ca="1">IFERROR(__xludf.DUMMYFUNCTION("IMPORTRANGE(""https://docs.google.com/spreadsheets/d/1yGy89TWty5kAjAO5OL1fLLQ_DL8fVJHFf2LvMm8qymA/edit?usp=sharing"",""รวมเหนือ!J632"")+IMPORTRANGE(""https://docs.google.com/spreadsheets/d/1bWGR5Y7oTgtZIep2hLdTHG-chM0w9aHBSSpJHwm6lak/edit?usp=sharing"","""&amp;"รวมตะวันออกเฉียงเหนือ!J632"")+IMPORTRANGE(""https://docs.google.com/spreadsheets/d/1dCxWUCc_SKNp-qd8qsaa5pPX_-BuQqWJ_-8FnsS4Ki0/edit?usp=sharing"",""รวมกลาง!J632"")+IMPORTRANGE(""https://docs.google.com/spreadsheets/d/1uOzBKYgpuhMUe0xXQLXSct3xZ80hakAMJHdG"&amp;"Jh9616E/edit?usp=sharing"",""รวมใต้!J632"")"),28665031.87)</f>
        <v>28665031.870000001</v>
      </c>
      <c r="K643" s="341">
        <f t="shared" ca="1" si="146"/>
        <v>21.20864666638818</v>
      </c>
      <c r="L643" s="341"/>
      <c r="M643" s="341"/>
      <c r="N643" s="341"/>
      <c r="O643" s="165"/>
      <c r="P643" s="165"/>
    </row>
    <row r="644" spans="1:16" ht="21.75" customHeight="1" x14ac:dyDescent="0.3">
      <c r="A644" s="484"/>
      <c r="B644" s="505"/>
      <c r="C644" s="159"/>
      <c r="D644" s="166"/>
      <c r="E644" s="167"/>
      <c r="F644" s="167"/>
      <c r="G644" s="160"/>
      <c r="H644" s="506" t="s">
        <v>37</v>
      </c>
      <c r="I644" s="340">
        <f ca="1">IFERROR(__xludf.DUMMYFUNCTION("IMPORTRANGE(""https://docs.google.com/spreadsheets/d/1yGy89TWty5kAjAO5OL1fLLQ_DL8fVJHFf2LvMm8qymA/edit?usp=sharing"",""รวมเหนือ!I633"")+IMPORTRANGE(""https://docs.google.com/spreadsheets/d/1bWGR5Y7oTgtZIep2hLdTHG-chM0w9aHBSSpJHwm6lak/edit?usp=sharing"","""&amp;"รวมตะวันออกเฉียงเหนือ!I633"")+IMPORTRANGE(""https://docs.google.com/spreadsheets/d/1dCxWUCc_SKNp-qd8qsaa5pPX_-BuQqWJ_-8FnsS4Ki0/edit?usp=sharing"",""รวมกลาง!I633"")+IMPORTRANGE(""https://docs.google.com/spreadsheets/d/1uOzBKYgpuhMUe0xXQLXSct3xZ80hakAMJHdG"&amp;"Jh9616E/edit?usp=sharing"",""รวมใต้!I633"")"),18735)</f>
        <v>18735</v>
      </c>
      <c r="J644" s="340">
        <f ca="1">IFERROR(__xludf.DUMMYFUNCTION("IMPORTRANGE(""https://docs.google.com/spreadsheets/d/1yGy89TWty5kAjAO5OL1fLLQ_DL8fVJHFf2LvMm8qymA/edit?usp=sharing"",""รวมเหนือ!J633"")+IMPORTRANGE(""https://docs.google.com/spreadsheets/d/1bWGR5Y7oTgtZIep2hLdTHG-chM0w9aHBSSpJHwm6lak/edit?usp=sharing"","""&amp;"รวมตะวันออกเฉียงเหนือ!J633"")+IMPORTRANGE(""https://docs.google.com/spreadsheets/d/1dCxWUCc_SKNp-qd8qsaa5pPX_-BuQqWJ_-8FnsS4Ki0/edit?usp=sharing"",""รวมกลาง!J633"")+IMPORTRANGE(""https://docs.google.com/spreadsheets/d/1uOzBKYgpuhMUe0xXQLXSct3xZ80hakAMJHdG"&amp;"Jh9616E/edit?usp=sharing"",""รวมใต้!J633"")"),7408)</f>
        <v>7408</v>
      </c>
      <c r="K644" s="341">
        <f t="shared" ca="1" si="146"/>
        <v>39.540966106218306</v>
      </c>
      <c r="L644" s="341"/>
      <c r="M644" s="341"/>
      <c r="N644" s="341"/>
      <c r="O644" s="165"/>
      <c r="P644" s="165"/>
    </row>
    <row r="645" spans="1:16" ht="21.75" customHeight="1" x14ac:dyDescent="0.3">
      <c r="A645" s="484"/>
      <c r="B645" s="505" t="s">
        <v>235</v>
      </c>
      <c r="C645" s="159"/>
      <c r="D645" s="166"/>
      <c r="E645" s="167"/>
      <c r="F645" s="167"/>
      <c r="G645" s="160"/>
      <c r="H645" s="506" t="s">
        <v>12</v>
      </c>
      <c r="I645" s="340">
        <f ca="1">IFERROR(__xludf.DUMMYFUNCTION("IMPORTRANGE(""https://docs.google.com/spreadsheets/d/1yGy89TWty5kAjAO5OL1fLLQ_DL8fVJHFf2LvMm8qymA/edit?usp=sharing"",""รวมเหนือ!I634"")+IMPORTRANGE(""https://docs.google.com/spreadsheets/d/1bWGR5Y7oTgtZIep2hLdTHG-chM0w9aHBSSpJHwm6lak/edit?usp=sharing"","""&amp;"รวมตะวันออกเฉียงเหนือ!I634"")+IMPORTRANGE(""https://docs.google.com/spreadsheets/d/1dCxWUCc_SKNp-qd8qsaa5pPX_-BuQqWJ_-8FnsS4Ki0/edit?usp=sharing"",""รวมกลาง!I634"")+IMPORTRANGE(""https://docs.google.com/spreadsheets/d/1uOzBKYgpuhMUe0xXQLXSct3xZ80hakAMJHdG"&amp;"Jh9616E/edit?usp=sharing"",""รวมใต้!I634"")"),322074000)</f>
        <v>322074000</v>
      </c>
      <c r="J645" s="340">
        <f ca="1">IFERROR(__xludf.DUMMYFUNCTION("IMPORTRANGE(""https://docs.google.com/spreadsheets/d/1yGy89TWty5kAjAO5OL1fLLQ_DL8fVJHFf2LvMm8qymA/edit?usp=sharing"",""รวมเหนือ!J634"")+IMPORTRANGE(""https://docs.google.com/spreadsheets/d/1bWGR5Y7oTgtZIep2hLdTHG-chM0w9aHBSSpJHwm6lak/edit?usp=sharing"","""&amp;"รวมตะวันออกเฉียงเหนือ!J634"")+IMPORTRANGE(""https://docs.google.com/spreadsheets/d/1dCxWUCc_SKNp-qd8qsaa5pPX_-BuQqWJ_-8FnsS4Ki0/edit?usp=sharing"",""รวมกลาง!J634"")+IMPORTRANGE(""https://docs.google.com/spreadsheets/d/1uOzBKYgpuhMUe0xXQLXSct3xZ80hakAMJHdG"&amp;"Jh9616E/edit?usp=sharing"",""รวมใต้!J634"")"),103697000)</f>
        <v>103697000</v>
      </c>
      <c r="K645" s="341">
        <f t="shared" ca="1" si="146"/>
        <v>32.196638039705164</v>
      </c>
      <c r="L645" s="341"/>
      <c r="M645" s="341"/>
      <c r="N645" s="341"/>
      <c r="O645" s="165"/>
      <c r="P645" s="165"/>
    </row>
    <row r="646" spans="1:16" ht="21.75" customHeight="1" x14ac:dyDescent="0.3">
      <c r="A646" s="486"/>
      <c r="B646" s="488"/>
      <c r="C646" s="488"/>
      <c r="D646" s="507"/>
      <c r="E646" s="508"/>
      <c r="F646" s="508"/>
      <c r="G646" s="509"/>
      <c r="H646" s="510" t="s">
        <v>37</v>
      </c>
      <c r="I646" s="511">
        <f ca="1">IFERROR(__xludf.DUMMYFUNCTION("IMPORTRANGE(""https://docs.google.com/spreadsheets/d/1yGy89TWty5kAjAO5OL1fLLQ_DL8fVJHFf2LvMm8qymA/edit?usp=sharing"",""รวมเหนือ!I635"")+IMPORTRANGE(""https://docs.google.com/spreadsheets/d/1bWGR5Y7oTgtZIep2hLdTHG-chM0w9aHBSSpJHwm6lak/edit?usp=sharing"","""&amp;"รวมตะวันออกเฉียงเหนือ!I635"")+IMPORTRANGE(""https://docs.google.com/spreadsheets/d/1dCxWUCc_SKNp-qd8qsaa5pPX_-BuQqWJ_-8FnsS4Ki0/edit?usp=sharing"",""รวมกลาง!I635"")+IMPORTRANGE(""https://docs.google.com/spreadsheets/d/1uOzBKYgpuhMUe0xXQLXSct3xZ80hakAMJHdG"&amp;"Jh9616E/edit?usp=sharing"",""รวมใต้!I635"")"),9054)</f>
        <v>9054</v>
      </c>
      <c r="J646" s="511">
        <f ca="1">IFERROR(__xludf.DUMMYFUNCTION("IMPORTRANGE(""https://docs.google.com/spreadsheets/d/1yGy89TWty5kAjAO5OL1fLLQ_DL8fVJHFf2LvMm8qymA/edit?usp=sharing"",""รวมเหนือ!J635"")+IMPORTRANGE(""https://docs.google.com/spreadsheets/d/1bWGR5Y7oTgtZIep2hLdTHG-chM0w9aHBSSpJHwm6lak/edit?usp=sharing"","""&amp;"รวมตะวันออกเฉียงเหนือ!J635"")+IMPORTRANGE(""https://docs.google.com/spreadsheets/d/1dCxWUCc_SKNp-qd8qsaa5pPX_-BuQqWJ_-8FnsS4Ki0/edit?usp=sharing"",""รวมกลาง!J635"")+IMPORTRANGE(""https://docs.google.com/spreadsheets/d/1uOzBKYgpuhMUe0xXQLXSct3xZ80hakAMJHdG"&amp;"Jh9616E/edit?usp=sharing"",""รวมใต้!J635"")"),2812)</f>
        <v>2812</v>
      </c>
      <c r="K646" s="492">
        <f t="shared" ca="1" si="146"/>
        <v>31.058095869229071</v>
      </c>
      <c r="L646" s="492"/>
      <c r="M646" s="492"/>
      <c r="N646" s="492"/>
      <c r="O646" s="512"/>
      <c r="P646" s="512"/>
    </row>
    <row r="647" spans="1:16" ht="21.75" customHeight="1" x14ac:dyDescent="0.3">
      <c r="A647" s="513"/>
      <c r="B647" s="513"/>
      <c r="C647" s="513"/>
      <c r="D647" s="513"/>
      <c r="E647" s="514"/>
      <c r="F647" s="514"/>
      <c r="G647" s="514"/>
      <c r="H647" s="515"/>
      <c r="I647" s="515"/>
      <c r="J647" s="515"/>
      <c r="K647" s="516"/>
      <c r="L647" s="517"/>
      <c r="M647" s="517"/>
      <c r="N647" s="517"/>
      <c r="O647" s="518"/>
      <c r="P647" s="518"/>
    </row>
    <row r="648" spans="1:16" ht="21.75" customHeight="1" x14ac:dyDescent="0.3">
      <c r="A648" s="519" t="s">
        <v>236</v>
      </c>
      <c r="B648" s="520"/>
      <c r="C648" s="520"/>
      <c r="D648" s="520"/>
      <c r="E648" s="520"/>
      <c r="F648" s="520"/>
      <c r="G648" s="521"/>
      <c r="H648" s="522"/>
      <c r="I648" s="522"/>
      <c r="J648" s="521"/>
      <c r="K648" s="521"/>
      <c r="L648" s="521"/>
      <c r="M648" s="521"/>
      <c r="N648" s="521"/>
      <c r="O648" s="518"/>
      <c r="P648" s="518"/>
    </row>
    <row r="649" spans="1:16" ht="21.75" customHeight="1" x14ac:dyDescent="0.3">
      <c r="A649" s="520"/>
      <c r="B649" s="523" t="s">
        <v>237</v>
      </c>
      <c r="C649" s="520"/>
      <c r="D649" s="520"/>
      <c r="E649" s="520"/>
      <c r="F649" s="520"/>
      <c r="G649" s="521"/>
      <c r="H649" s="522"/>
      <c r="I649" s="522"/>
      <c r="J649" s="521"/>
      <c r="K649" s="521"/>
      <c r="L649" s="521"/>
      <c r="M649" s="521"/>
      <c r="N649" s="521"/>
      <c r="O649" s="518"/>
      <c r="P649" s="518"/>
    </row>
    <row r="650" spans="1:16" ht="21.75" customHeight="1" x14ac:dyDescent="0.3">
      <c r="A650" s="519" t="s">
        <v>75</v>
      </c>
      <c r="B650" s="520"/>
      <c r="C650" s="520"/>
      <c r="D650" s="520"/>
      <c r="E650" s="520"/>
      <c r="F650" s="520"/>
      <c r="G650" s="521"/>
      <c r="H650" s="522"/>
      <c r="I650" s="522"/>
      <c r="J650" s="521"/>
      <c r="K650" s="521"/>
      <c r="L650" s="521"/>
      <c r="M650" s="521"/>
      <c r="N650" s="521"/>
      <c r="O650" s="518"/>
      <c r="P650" s="518"/>
    </row>
    <row r="651" spans="1:16" ht="21.75" customHeight="1" x14ac:dyDescent="0.3">
      <c r="A651" s="520"/>
      <c r="B651" s="523" t="s">
        <v>238</v>
      </c>
      <c r="C651" s="520"/>
      <c r="D651" s="520"/>
      <c r="E651" s="520"/>
      <c r="F651" s="520"/>
      <c r="G651" s="521"/>
      <c r="H651" s="522"/>
      <c r="I651" s="522"/>
      <c r="J651" s="521"/>
      <c r="K651" s="521"/>
      <c r="L651" s="521"/>
      <c r="M651" s="521"/>
      <c r="N651" s="521"/>
      <c r="O651" s="518"/>
      <c r="P651" s="518"/>
    </row>
    <row r="652" spans="1:16" ht="21.75" customHeight="1" x14ac:dyDescent="0.3">
      <c r="A652" s="520"/>
      <c r="B652" s="523" t="s">
        <v>239</v>
      </c>
      <c r="C652" s="520"/>
      <c r="D652" s="520"/>
      <c r="E652" s="520"/>
      <c r="F652" s="520"/>
      <c r="G652" s="521"/>
      <c r="H652" s="522"/>
      <c r="I652" s="522"/>
      <c r="J652" s="521"/>
      <c r="K652" s="521"/>
      <c r="L652" s="521"/>
      <c r="M652" s="521"/>
      <c r="N652" s="521"/>
      <c r="O652" s="518"/>
      <c r="P652" s="518"/>
    </row>
    <row r="653" spans="1:16" ht="21.75" customHeight="1" x14ac:dyDescent="0.3">
      <c r="A653" s="519" t="s">
        <v>240</v>
      </c>
      <c r="B653" s="520"/>
      <c r="C653" s="520"/>
      <c r="D653" s="520"/>
      <c r="E653" s="520"/>
      <c r="F653" s="520"/>
      <c r="G653" s="521"/>
      <c r="H653" s="522"/>
      <c r="I653" s="522"/>
      <c r="J653" s="521"/>
      <c r="K653" s="521"/>
      <c r="L653" s="521"/>
      <c r="M653" s="521"/>
      <c r="N653" s="521"/>
      <c r="O653" s="518"/>
      <c r="P653" s="518"/>
    </row>
    <row r="654" spans="1:16" ht="21.75" customHeight="1" x14ac:dyDescent="0.3">
      <c r="A654" s="520"/>
      <c r="B654" s="523" t="s">
        <v>241</v>
      </c>
      <c r="C654" s="520"/>
      <c r="D654" s="520"/>
      <c r="E654" s="520"/>
      <c r="F654" s="520"/>
      <c r="G654" s="520"/>
      <c r="H654" s="521"/>
      <c r="I654" s="522"/>
      <c r="J654" s="522"/>
      <c r="K654" s="521"/>
      <c r="L654" s="521"/>
      <c r="M654" s="521"/>
      <c r="N654" s="521"/>
      <c r="O654" s="518"/>
      <c r="P654" s="518"/>
    </row>
    <row r="655" spans="1:16" ht="21.75" customHeight="1" x14ac:dyDescent="0.3">
      <c r="A655" s="520"/>
      <c r="B655" s="524" t="s">
        <v>242</v>
      </c>
      <c r="C655" s="520"/>
      <c r="D655" s="520"/>
      <c r="E655" s="520"/>
      <c r="F655" s="520"/>
      <c r="G655" s="520"/>
      <c r="H655" s="521"/>
      <c r="I655" s="522"/>
      <c r="J655" s="522"/>
      <c r="K655" s="521"/>
      <c r="L655" s="521"/>
      <c r="M655" s="521"/>
      <c r="N655" s="521"/>
      <c r="O655" s="518"/>
      <c r="P655" s="518"/>
    </row>
    <row r="656" spans="1:16" ht="21.75" customHeight="1" x14ac:dyDescent="0.3">
      <c r="A656" s="519" t="s">
        <v>243</v>
      </c>
      <c r="B656" s="525"/>
      <c r="C656" s="525"/>
      <c r="D656" s="525"/>
      <c r="E656" s="525"/>
      <c r="F656" s="525"/>
      <c r="G656" s="525"/>
      <c r="H656" s="525"/>
      <c r="I656" s="525"/>
      <c r="J656" s="525"/>
      <c r="K656" s="526"/>
      <c r="L656" s="527"/>
      <c r="M656" s="527"/>
      <c r="N656" s="526"/>
      <c r="O656" s="518"/>
      <c r="P656" s="518"/>
    </row>
    <row r="657" spans="1:16" ht="21.75" customHeight="1" x14ac:dyDescent="0.3">
      <c r="A657" s="525"/>
      <c r="B657" s="524" t="s">
        <v>244</v>
      </c>
      <c r="C657" s="525"/>
      <c r="D657" s="525"/>
      <c r="E657" s="525"/>
      <c r="F657" s="525"/>
      <c r="G657" s="525"/>
      <c r="H657" s="525"/>
      <c r="I657" s="525"/>
      <c r="J657" s="525"/>
      <c r="K657" s="526"/>
      <c r="L657" s="527"/>
      <c r="M657" s="527"/>
      <c r="N657" s="526"/>
      <c r="O657" s="518"/>
      <c r="P657" s="518"/>
    </row>
    <row r="658" spans="1:16" ht="21.75" customHeight="1" x14ac:dyDescent="0.3">
      <c r="A658" s="525"/>
      <c r="B658" s="524" t="s">
        <v>245</v>
      </c>
      <c r="C658" s="525"/>
      <c r="D658" s="525"/>
      <c r="E658" s="525"/>
      <c r="F658" s="525"/>
      <c r="G658" s="525"/>
      <c r="H658" s="528"/>
      <c r="I658" s="525"/>
      <c r="J658" s="525"/>
      <c r="K658" s="526"/>
      <c r="L658" s="527"/>
      <c r="M658" s="527"/>
      <c r="N658" s="526"/>
      <c r="O658" s="518"/>
      <c r="P658" s="518"/>
    </row>
    <row r="659" spans="1:16" ht="21.75" customHeight="1" x14ac:dyDescent="0.3">
      <c r="A659" s="525"/>
      <c r="B659" s="524" t="s">
        <v>246</v>
      </c>
      <c r="C659" s="525"/>
      <c r="D659" s="525"/>
      <c r="E659" s="525"/>
      <c r="F659" s="525"/>
      <c r="G659" s="525"/>
      <c r="H659" s="525"/>
      <c r="I659" s="525"/>
      <c r="J659" s="525"/>
      <c r="K659" s="526"/>
      <c r="L659" s="527"/>
      <c r="M659" s="527"/>
      <c r="N659" s="526"/>
      <c r="O659" s="518"/>
      <c r="P659" s="518"/>
    </row>
    <row r="660" spans="1:16" ht="21.75" customHeight="1" x14ac:dyDescent="0.3">
      <c r="A660" s="525"/>
      <c r="B660" s="524" t="s">
        <v>247</v>
      </c>
      <c r="C660" s="525"/>
      <c r="D660" s="525"/>
      <c r="E660" s="525"/>
      <c r="F660" s="525"/>
      <c r="G660" s="525"/>
      <c r="H660" s="525"/>
      <c r="I660" s="525"/>
      <c r="J660" s="525"/>
      <c r="K660" s="526"/>
      <c r="L660" s="527"/>
      <c r="M660" s="527"/>
      <c r="N660" s="526"/>
      <c r="O660" s="518"/>
      <c r="P660" s="518"/>
    </row>
    <row r="661" spans="1:16" ht="21.75" customHeight="1" x14ac:dyDescent="0.3">
      <c r="A661" s="513"/>
      <c r="B661" s="513"/>
      <c r="C661" s="513"/>
      <c r="D661" s="513"/>
      <c r="E661" s="515"/>
      <c r="F661" s="515"/>
      <c r="G661" s="515"/>
      <c r="H661" s="515"/>
      <c r="I661" s="515"/>
      <c r="J661" s="515"/>
      <c r="K661" s="516"/>
      <c r="L661" s="517"/>
      <c r="M661" s="517"/>
      <c r="N661" s="517"/>
      <c r="O661" s="518"/>
      <c r="P661" s="518"/>
    </row>
    <row r="662" spans="1:16" ht="21.75" customHeight="1" x14ac:dyDescent="0.3">
      <c r="A662" s="513"/>
      <c r="B662" s="513"/>
      <c r="C662" s="513"/>
      <c r="D662" s="513"/>
      <c r="E662" s="515"/>
      <c r="F662" s="515"/>
      <c r="G662" s="529"/>
      <c r="H662" s="515"/>
      <c r="I662" s="515"/>
      <c r="J662" s="515"/>
      <c r="K662" s="516"/>
      <c r="L662" s="517"/>
      <c r="M662" s="517"/>
      <c r="N662" s="517"/>
      <c r="O662" s="518"/>
      <c r="P662" s="518"/>
    </row>
    <row r="663" spans="1:16" ht="21.75" customHeight="1" x14ac:dyDescent="0.3">
      <c r="A663" s="513"/>
      <c r="B663" s="513"/>
      <c r="C663" s="513"/>
      <c r="D663" s="513"/>
      <c r="E663" s="515"/>
      <c r="F663" s="515"/>
      <c r="G663" s="515"/>
      <c r="H663" s="515"/>
      <c r="I663" s="515"/>
      <c r="J663" s="515"/>
      <c r="K663" s="516"/>
      <c r="L663" s="517"/>
      <c r="M663" s="517"/>
      <c r="N663" s="517"/>
      <c r="O663" s="518"/>
      <c r="P663" s="518"/>
    </row>
    <row r="664" spans="1:16" ht="21.75" customHeight="1" x14ac:dyDescent="0.3">
      <c r="A664" s="513"/>
      <c r="B664" s="513"/>
      <c r="C664" s="513"/>
      <c r="D664" s="513"/>
      <c r="E664" s="515"/>
      <c r="F664" s="515"/>
      <c r="G664" s="515"/>
      <c r="H664" s="515"/>
      <c r="I664" s="515"/>
      <c r="J664" s="515"/>
      <c r="K664" s="516"/>
      <c r="L664" s="517"/>
      <c r="M664" s="517"/>
      <c r="N664" s="517"/>
      <c r="O664" s="518"/>
      <c r="P664" s="518"/>
    </row>
    <row r="665" spans="1:16" ht="21.75" customHeight="1" x14ac:dyDescent="0.3">
      <c r="A665" s="513"/>
      <c r="B665" s="513"/>
      <c r="C665" s="513"/>
      <c r="D665" s="513"/>
      <c r="E665" s="515"/>
      <c r="F665" s="515"/>
      <c r="G665" s="515"/>
      <c r="H665" s="515"/>
      <c r="I665" s="515"/>
      <c r="J665" s="515"/>
      <c r="K665" s="516"/>
      <c r="L665" s="517"/>
      <c r="M665" s="517"/>
      <c r="N665" s="517"/>
      <c r="O665" s="518"/>
      <c r="P665" s="518"/>
    </row>
    <row r="666" spans="1:16" ht="21.75" customHeight="1" x14ac:dyDescent="0.3">
      <c r="A666" s="513"/>
      <c r="B666" s="513"/>
      <c r="C666" s="513"/>
      <c r="D666" s="513"/>
      <c r="E666" s="515"/>
      <c r="F666" s="515"/>
      <c r="G666" s="515"/>
      <c r="H666" s="515"/>
      <c r="I666" s="515"/>
      <c r="J666" s="515"/>
      <c r="K666" s="516"/>
      <c r="L666" s="517"/>
      <c r="M666" s="517"/>
      <c r="N666" s="517"/>
      <c r="O666" s="518"/>
      <c r="P666" s="518"/>
    </row>
    <row r="667" spans="1:16" ht="21.75" customHeight="1" x14ac:dyDescent="0.3">
      <c r="A667" s="513"/>
      <c r="B667" s="513"/>
      <c r="C667" s="513"/>
      <c r="D667" s="513"/>
      <c r="E667" s="515"/>
      <c r="F667" s="515"/>
      <c r="G667" s="515"/>
      <c r="H667" s="515"/>
      <c r="I667" s="515"/>
      <c r="J667" s="515"/>
      <c r="K667" s="516"/>
      <c r="L667" s="517"/>
      <c r="M667" s="517"/>
      <c r="N667" s="517"/>
      <c r="O667" s="518"/>
      <c r="P667" s="518"/>
    </row>
    <row r="668" spans="1:16" ht="21.75" customHeight="1" x14ac:dyDescent="0.3">
      <c r="A668" s="513"/>
      <c r="B668" s="513"/>
      <c r="C668" s="513"/>
      <c r="D668" s="513"/>
      <c r="E668" s="515"/>
      <c r="F668" s="515"/>
      <c r="G668" s="515"/>
      <c r="H668" s="515"/>
      <c r="I668" s="515"/>
      <c r="J668" s="515"/>
      <c r="K668" s="516"/>
      <c r="L668" s="517"/>
      <c r="M668" s="517"/>
      <c r="N668" s="517"/>
      <c r="O668" s="518"/>
      <c r="P668" s="518"/>
    </row>
    <row r="669" spans="1:16" ht="21.75" customHeight="1" x14ac:dyDescent="0.3">
      <c r="A669" s="513"/>
      <c r="B669" s="513"/>
      <c r="C669" s="513"/>
      <c r="D669" s="513"/>
      <c r="E669" s="515"/>
      <c r="F669" s="515"/>
      <c r="G669" s="515"/>
      <c r="H669" s="515"/>
      <c r="I669" s="515"/>
      <c r="J669" s="515"/>
      <c r="K669" s="516"/>
      <c r="L669" s="517"/>
      <c r="M669" s="517"/>
      <c r="N669" s="517"/>
      <c r="O669" s="518"/>
      <c r="P669" s="518"/>
    </row>
    <row r="670" spans="1:16" ht="21.75" customHeight="1" x14ac:dyDescent="0.3">
      <c r="A670" s="513"/>
      <c r="B670" s="513"/>
      <c r="C670" s="513"/>
      <c r="D670" s="513"/>
      <c r="E670" s="515"/>
      <c r="F670" s="515"/>
      <c r="G670" s="515"/>
      <c r="H670" s="515"/>
      <c r="I670" s="515"/>
      <c r="J670" s="515"/>
      <c r="K670" s="516"/>
      <c r="L670" s="517"/>
      <c r="M670" s="517"/>
      <c r="N670" s="517"/>
      <c r="O670" s="518"/>
      <c r="P670" s="518"/>
    </row>
    <row r="671" spans="1:16" ht="21.75" customHeight="1" x14ac:dyDescent="0.3">
      <c r="A671" s="513"/>
      <c r="B671" s="513"/>
      <c r="C671" s="513"/>
      <c r="D671" s="513"/>
      <c r="E671" s="515"/>
      <c r="F671" s="515"/>
      <c r="G671" s="515"/>
      <c r="H671" s="515"/>
      <c r="I671" s="515"/>
      <c r="J671" s="515"/>
      <c r="K671" s="516"/>
      <c r="L671" s="517"/>
      <c r="M671" s="517"/>
      <c r="N671" s="517"/>
      <c r="O671" s="518"/>
      <c r="P671" s="518"/>
    </row>
    <row r="672" spans="1:16" ht="21.75" customHeight="1" x14ac:dyDescent="0.3">
      <c r="A672" s="513"/>
      <c r="B672" s="513"/>
      <c r="C672" s="513"/>
      <c r="D672" s="513"/>
      <c r="E672" s="515"/>
      <c r="F672" s="515"/>
      <c r="G672" s="515"/>
      <c r="H672" s="515"/>
      <c r="I672" s="515"/>
      <c r="J672" s="515"/>
      <c r="K672" s="516"/>
      <c r="L672" s="517"/>
      <c r="M672" s="517"/>
      <c r="N672" s="517"/>
      <c r="O672" s="518"/>
      <c r="P672" s="518"/>
    </row>
    <row r="673" spans="1:16" ht="21.75" customHeight="1" x14ac:dyDescent="0.3">
      <c r="A673" s="513"/>
      <c r="B673" s="513"/>
      <c r="C673" s="513"/>
      <c r="D673" s="513"/>
      <c r="E673" s="515"/>
      <c r="F673" s="515"/>
      <c r="G673" s="515"/>
      <c r="H673" s="515"/>
      <c r="I673" s="515"/>
      <c r="J673" s="515"/>
      <c r="K673" s="516"/>
      <c r="L673" s="517"/>
      <c r="M673" s="517"/>
      <c r="N673" s="517"/>
      <c r="O673" s="518"/>
      <c r="P673" s="518"/>
    </row>
    <row r="674" spans="1:16" ht="21.75" customHeight="1" x14ac:dyDescent="0.3">
      <c r="A674" s="513"/>
      <c r="B674" s="513"/>
      <c r="C674" s="513"/>
      <c r="D674" s="513"/>
      <c r="E674" s="515"/>
      <c r="F674" s="515"/>
      <c r="G674" s="515"/>
      <c r="H674" s="515"/>
      <c r="I674" s="515"/>
      <c r="J674" s="515"/>
      <c r="K674" s="516"/>
      <c r="L674" s="517"/>
      <c r="M674" s="517"/>
      <c r="N674" s="517"/>
      <c r="O674" s="518"/>
      <c r="P674" s="518"/>
    </row>
    <row r="675" spans="1:16" ht="21.75" customHeight="1" x14ac:dyDescent="0.3">
      <c r="A675" s="513"/>
      <c r="B675" s="513"/>
      <c r="C675" s="513"/>
      <c r="D675" s="513"/>
      <c r="E675" s="515"/>
      <c r="F675" s="515"/>
      <c r="G675" s="515"/>
      <c r="H675" s="515"/>
      <c r="I675" s="515"/>
      <c r="J675" s="515"/>
      <c r="K675" s="516"/>
      <c r="L675" s="517"/>
      <c r="M675" s="517"/>
      <c r="N675" s="517"/>
      <c r="O675" s="518"/>
      <c r="P675" s="518"/>
    </row>
    <row r="676" spans="1:16" ht="21.75" customHeight="1" x14ac:dyDescent="0.3">
      <c r="A676" s="513"/>
      <c r="B676" s="513"/>
      <c r="C676" s="513"/>
      <c r="D676" s="513"/>
      <c r="E676" s="515"/>
      <c r="F676" s="515"/>
      <c r="G676" s="515"/>
      <c r="H676" s="515"/>
      <c r="I676" s="515"/>
      <c r="J676" s="515"/>
      <c r="K676" s="516"/>
      <c r="L676" s="517"/>
      <c r="M676" s="517"/>
      <c r="N676" s="517"/>
      <c r="O676" s="518"/>
      <c r="P676" s="518"/>
    </row>
    <row r="677" spans="1:16" ht="21.75" customHeight="1" x14ac:dyDescent="0.3">
      <c r="A677" s="513"/>
      <c r="B677" s="513"/>
      <c r="C677" s="513"/>
      <c r="D677" s="513"/>
      <c r="E677" s="515"/>
      <c r="F677" s="515"/>
      <c r="G677" s="515"/>
      <c r="H677" s="515"/>
      <c r="I677" s="515"/>
      <c r="J677" s="515"/>
      <c r="K677" s="516"/>
      <c r="L677" s="517"/>
      <c r="M677" s="517"/>
      <c r="N677" s="517"/>
      <c r="O677" s="518"/>
      <c r="P677" s="518"/>
    </row>
    <row r="678" spans="1:16" ht="21.75" customHeight="1" x14ac:dyDescent="0.3">
      <c r="A678" s="513"/>
      <c r="B678" s="513"/>
      <c r="C678" s="513"/>
      <c r="D678" s="513"/>
      <c r="E678" s="515"/>
      <c r="F678" s="515"/>
      <c r="G678" s="515"/>
      <c r="H678" s="515"/>
      <c r="I678" s="515"/>
      <c r="J678" s="515"/>
      <c r="K678" s="516"/>
      <c r="L678" s="517"/>
      <c r="M678" s="517"/>
      <c r="N678" s="517"/>
      <c r="O678" s="518"/>
      <c r="P678" s="518"/>
    </row>
    <row r="679" spans="1:16" ht="21.75" customHeight="1" x14ac:dyDescent="0.3">
      <c r="A679" s="513"/>
      <c r="B679" s="513"/>
      <c r="C679" s="513"/>
      <c r="D679" s="513"/>
      <c r="E679" s="515"/>
      <c r="F679" s="515"/>
      <c r="G679" s="515"/>
      <c r="H679" s="515"/>
      <c r="I679" s="515"/>
      <c r="J679" s="515"/>
      <c r="K679" s="516"/>
      <c r="L679" s="517"/>
      <c r="M679" s="517"/>
      <c r="N679" s="517"/>
      <c r="O679" s="518"/>
      <c r="P679" s="518"/>
    </row>
    <row r="680" spans="1:16" ht="21.75" customHeight="1" x14ac:dyDescent="0.3">
      <c r="A680" s="513"/>
      <c r="B680" s="513"/>
      <c r="C680" s="513"/>
      <c r="D680" s="513"/>
      <c r="E680" s="515"/>
      <c r="F680" s="515"/>
      <c r="G680" s="515"/>
      <c r="H680" s="515"/>
      <c r="I680" s="515"/>
      <c r="J680" s="515"/>
      <c r="K680" s="516"/>
      <c r="L680" s="517"/>
      <c r="M680" s="517"/>
      <c r="N680" s="517"/>
      <c r="O680" s="518"/>
      <c r="P680" s="518"/>
    </row>
    <row r="681" spans="1:16" ht="21.75" customHeight="1" x14ac:dyDescent="0.3">
      <c r="A681" s="513"/>
      <c r="B681" s="513"/>
      <c r="C681" s="513"/>
      <c r="D681" s="513"/>
      <c r="E681" s="515"/>
      <c r="F681" s="515"/>
      <c r="G681" s="515"/>
      <c r="H681" s="515"/>
      <c r="I681" s="515"/>
      <c r="J681" s="515"/>
      <c r="K681" s="516"/>
      <c r="L681" s="517"/>
      <c r="M681" s="517"/>
      <c r="N681" s="517"/>
      <c r="O681" s="518"/>
      <c r="P681" s="518"/>
    </row>
    <row r="682" spans="1:16" ht="21.75" customHeight="1" x14ac:dyDescent="0.3">
      <c r="A682" s="513"/>
      <c r="B682" s="513"/>
      <c r="C682" s="513"/>
      <c r="D682" s="513"/>
      <c r="E682" s="515"/>
      <c r="F682" s="515"/>
      <c r="G682" s="515"/>
      <c r="H682" s="515"/>
      <c r="I682" s="515"/>
      <c r="J682" s="515"/>
      <c r="K682" s="516"/>
      <c r="L682" s="517"/>
      <c r="M682" s="517"/>
      <c r="N682" s="517"/>
      <c r="O682" s="518"/>
      <c r="P682" s="518"/>
    </row>
    <row r="683" spans="1:16" ht="21.75" customHeight="1" x14ac:dyDescent="0.3">
      <c r="A683" s="513"/>
      <c r="B683" s="513"/>
      <c r="C683" s="513"/>
      <c r="D683" s="513"/>
      <c r="E683" s="515"/>
      <c r="F683" s="515"/>
      <c r="G683" s="515"/>
      <c r="H683" s="515"/>
      <c r="I683" s="515"/>
      <c r="J683" s="515"/>
      <c r="K683" s="516"/>
      <c r="L683" s="517"/>
      <c r="M683" s="517"/>
      <c r="N683" s="517"/>
      <c r="O683" s="518"/>
      <c r="P683" s="518"/>
    </row>
    <row r="684" spans="1:16" ht="21.75" customHeight="1" x14ac:dyDescent="0.3">
      <c r="A684" s="513"/>
      <c r="B684" s="513"/>
      <c r="C684" s="513"/>
      <c r="D684" s="513"/>
      <c r="E684" s="515"/>
      <c r="F684" s="515"/>
      <c r="G684" s="515"/>
      <c r="H684" s="515"/>
      <c r="I684" s="515"/>
      <c r="J684" s="515"/>
      <c r="K684" s="516"/>
      <c r="L684" s="517"/>
      <c r="M684" s="517"/>
      <c r="N684" s="517"/>
      <c r="O684" s="518"/>
      <c r="P684" s="518"/>
    </row>
    <row r="685" spans="1:16" ht="21.75" customHeight="1" x14ac:dyDescent="0.3">
      <c r="A685" s="513"/>
      <c r="B685" s="513"/>
      <c r="C685" s="513"/>
      <c r="D685" s="513"/>
      <c r="E685" s="515"/>
      <c r="F685" s="515"/>
      <c r="G685" s="515"/>
      <c r="H685" s="515"/>
      <c r="I685" s="515"/>
      <c r="J685" s="515"/>
      <c r="K685" s="516"/>
      <c r="L685" s="517"/>
      <c r="M685" s="517"/>
      <c r="N685" s="517"/>
      <c r="O685" s="518"/>
      <c r="P685" s="518"/>
    </row>
    <row r="686" spans="1:16" ht="21.75" customHeight="1" x14ac:dyDescent="0.3">
      <c r="A686" s="513"/>
      <c r="B686" s="513"/>
      <c r="C686" s="513"/>
      <c r="D686" s="513"/>
      <c r="E686" s="515"/>
      <c r="F686" s="515"/>
      <c r="G686" s="515"/>
      <c r="H686" s="515"/>
      <c r="I686" s="515"/>
      <c r="J686" s="515"/>
      <c r="K686" s="516"/>
      <c r="L686" s="517"/>
      <c r="M686" s="517"/>
      <c r="N686" s="517"/>
      <c r="O686" s="518"/>
      <c r="P686" s="518"/>
    </row>
    <row r="687" spans="1:16" ht="21.75" customHeight="1" x14ac:dyDescent="0.3">
      <c r="A687" s="513"/>
      <c r="B687" s="513"/>
      <c r="C687" s="513"/>
      <c r="D687" s="513"/>
      <c r="E687" s="515"/>
      <c r="F687" s="515"/>
      <c r="G687" s="515"/>
      <c r="H687" s="515"/>
      <c r="I687" s="515"/>
      <c r="J687" s="515"/>
      <c r="K687" s="516"/>
      <c r="L687" s="517"/>
      <c r="M687" s="517"/>
      <c r="N687" s="517"/>
      <c r="O687" s="518"/>
      <c r="P687" s="518"/>
    </row>
    <row r="688" spans="1:16" ht="21.75" customHeight="1" x14ac:dyDescent="0.3">
      <c r="A688" s="513"/>
      <c r="B688" s="513"/>
      <c r="C688" s="513"/>
      <c r="D688" s="513"/>
      <c r="E688" s="515"/>
      <c r="F688" s="515"/>
      <c r="G688" s="515"/>
      <c r="H688" s="515"/>
      <c r="I688" s="515"/>
      <c r="J688" s="515"/>
      <c r="K688" s="516"/>
      <c r="L688" s="517"/>
      <c r="M688" s="517"/>
      <c r="N688" s="517"/>
      <c r="O688" s="518"/>
      <c r="P688" s="518"/>
    </row>
    <row r="689" spans="1:16" ht="21.75" customHeight="1" x14ac:dyDescent="0.3">
      <c r="A689" s="513"/>
      <c r="B689" s="513"/>
      <c r="C689" s="513"/>
      <c r="D689" s="513"/>
      <c r="E689" s="515"/>
      <c r="F689" s="515"/>
      <c r="G689" s="515"/>
      <c r="H689" s="515"/>
      <c r="I689" s="515"/>
      <c r="J689" s="515"/>
      <c r="K689" s="516"/>
      <c r="L689" s="517"/>
      <c r="M689" s="517"/>
      <c r="N689" s="517"/>
      <c r="O689" s="518"/>
      <c r="P689" s="518"/>
    </row>
    <row r="690" spans="1:16" ht="21.75" customHeight="1" x14ac:dyDescent="0.3">
      <c r="A690" s="513"/>
      <c r="B690" s="513"/>
      <c r="C690" s="513"/>
      <c r="D690" s="513"/>
      <c r="E690" s="515"/>
      <c r="F690" s="515"/>
      <c r="G690" s="515"/>
      <c r="H690" s="515"/>
      <c r="I690" s="515"/>
      <c r="J690" s="515"/>
      <c r="K690" s="516"/>
      <c r="L690" s="517"/>
      <c r="M690" s="517"/>
      <c r="N690" s="517"/>
      <c r="O690" s="518"/>
      <c r="P690" s="518"/>
    </row>
    <row r="691" spans="1:16" ht="21.75" customHeight="1" x14ac:dyDescent="0.3">
      <c r="A691" s="513"/>
      <c r="B691" s="513"/>
      <c r="C691" s="513"/>
      <c r="D691" s="513"/>
      <c r="E691" s="515"/>
      <c r="F691" s="515"/>
      <c r="G691" s="515"/>
      <c r="H691" s="515"/>
      <c r="I691" s="515"/>
      <c r="J691" s="515"/>
      <c r="K691" s="516"/>
      <c r="L691" s="517"/>
      <c r="M691" s="517"/>
      <c r="N691" s="517"/>
      <c r="O691" s="518"/>
      <c r="P691" s="518"/>
    </row>
    <row r="692" spans="1:16" ht="21.75" customHeight="1" x14ac:dyDescent="0.3">
      <c r="A692" s="513"/>
      <c r="B692" s="513"/>
      <c r="C692" s="513"/>
      <c r="D692" s="513"/>
      <c r="E692" s="515"/>
      <c r="F692" s="515"/>
      <c r="G692" s="515"/>
      <c r="H692" s="515"/>
      <c r="I692" s="515"/>
      <c r="J692" s="515"/>
      <c r="K692" s="516"/>
      <c r="L692" s="517"/>
      <c r="M692" s="517"/>
      <c r="N692" s="517"/>
      <c r="O692" s="518"/>
      <c r="P692" s="518"/>
    </row>
    <row r="693" spans="1:16" ht="21.75" customHeight="1" x14ac:dyDescent="0.3">
      <c r="A693" s="513"/>
      <c r="B693" s="513"/>
      <c r="C693" s="513"/>
      <c r="D693" s="513"/>
      <c r="E693" s="515"/>
      <c r="F693" s="515"/>
      <c r="G693" s="515"/>
      <c r="H693" s="515"/>
      <c r="I693" s="515"/>
      <c r="J693" s="515"/>
      <c r="K693" s="516"/>
      <c r="L693" s="517"/>
      <c r="M693" s="517"/>
      <c r="N693" s="517"/>
      <c r="O693" s="518"/>
      <c r="P693" s="518"/>
    </row>
    <row r="694" spans="1:16" ht="21.75" customHeight="1" x14ac:dyDescent="0.3">
      <c r="A694" s="513"/>
      <c r="B694" s="513"/>
      <c r="C694" s="513"/>
      <c r="D694" s="513"/>
      <c r="E694" s="515"/>
      <c r="F694" s="515"/>
      <c r="G694" s="515"/>
      <c r="H694" s="515"/>
      <c r="I694" s="515"/>
      <c r="J694" s="515"/>
      <c r="K694" s="516"/>
      <c r="L694" s="517"/>
      <c r="M694" s="517"/>
      <c r="N694" s="517"/>
      <c r="O694" s="518"/>
      <c r="P694" s="518"/>
    </row>
    <row r="695" spans="1:16" ht="21.75" customHeight="1" x14ac:dyDescent="0.3">
      <c r="A695" s="513"/>
      <c r="B695" s="513"/>
      <c r="C695" s="513"/>
      <c r="D695" s="513"/>
      <c r="E695" s="515"/>
      <c r="F695" s="515"/>
      <c r="G695" s="515"/>
      <c r="H695" s="515"/>
      <c r="I695" s="515"/>
      <c r="J695" s="515"/>
      <c r="K695" s="516"/>
      <c r="L695" s="517"/>
      <c r="M695" s="517"/>
      <c r="N695" s="517"/>
      <c r="O695" s="518"/>
      <c r="P695" s="518"/>
    </row>
    <row r="696" spans="1:16" ht="21.75" customHeight="1" x14ac:dyDescent="0.3">
      <c r="A696" s="513"/>
      <c r="B696" s="513"/>
      <c r="C696" s="513"/>
      <c r="D696" s="513"/>
      <c r="E696" s="515"/>
      <c r="F696" s="515"/>
      <c r="G696" s="515"/>
      <c r="H696" s="515"/>
      <c r="I696" s="515"/>
      <c r="J696" s="515"/>
      <c r="K696" s="516"/>
      <c r="L696" s="517"/>
      <c r="M696" s="517"/>
      <c r="N696" s="517"/>
      <c r="O696" s="518"/>
      <c r="P696" s="518"/>
    </row>
    <row r="697" spans="1:16" ht="21.75" customHeight="1" x14ac:dyDescent="0.3">
      <c r="A697" s="513"/>
      <c r="B697" s="513"/>
      <c r="C697" s="513"/>
      <c r="D697" s="513"/>
      <c r="E697" s="515"/>
      <c r="F697" s="515"/>
      <c r="G697" s="515"/>
      <c r="H697" s="515"/>
      <c r="I697" s="515"/>
      <c r="J697" s="515"/>
      <c r="K697" s="516"/>
      <c r="L697" s="517"/>
      <c r="M697" s="517"/>
      <c r="N697" s="517"/>
      <c r="O697" s="518"/>
      <c r="P697" s="518"/>
    </row>
    <row r="698" spans="1:16" ht="21.75" customHeight="1" x14ac:dyDescent="0.3">
      <c r="A698" s="513"/>
      <c r="B698" s="513"/>
      <c r="C698" s="513"/>
      <c r="D698" s="513"/>
      <c r="E698" s="515"/>
      <c r="F698" s="515"/>
      <c r="G698" s="515"/>
      <c r="H698" s="515"/>
      <c r="I698" s="515"/>
      <c r="J698" s="515"/>
      <c r="K698" s="516"/>
      <c r="L698" s="517"/>
      <c r="M698" s="517"/>
      <c r="N698" s="517"/>
      <c r="O698" s="518"/>
      <c r="P698" s="518"/>
    </row>
    <row r="699" spans="1:16" ht="21.75" customHeight="1" x14ac:dyDescent="0.3">
      <c r="A699" s="513"/>
      <c r="B699" s="513"/>
      <c r="C699" s="513"/>
      <c r="D699" s="513"/>
      <c r="E699" s="515"/>
      <c r="F699" s="515"/>
      <c r="G699" s="515"/>
      <c r="H699" s="515"/>
      <c r="I699" s="515"/>
      <c r="J699" s="515"/>
      <c r="K699" s="516"/>
      <c r="L699" s="517"/>
      <c r="M699" s="517"/>
      <c r="N699" s="517"/>
      <c r="O699" s="518"/>
      <c r="P699" s="518"/>
    </row>
    <row r="700" spans="1:16" ht="21.75" customHeight="1" x14ac:dyDescent="0.3">
      <c r="A700" s="513"/>
      <c r="B700" s="513"/>
      <c r="C700" s="513"/>
      <c r="D700" s="513"/>
      <c r="E700" s="515"/>
      <c r="F700" s="515"/>
      <c r="G700" s="515"/>
      <c r="H700" s="515"/>
      <c r="I700" s="515"/>
      <c r="J700" s="515"/>
      <c r="K700" s="516"/>
      <c r="L700" s="517"/>
      <c r="M700" s="517"/>
      <c r="N700" s="517"/>
      <c r="O700" s="518"/>
      <c r="P700" s="518"/>
    </row>
    <row r="701" spans="1:16" ht="21.75" customHeight="1" x14ac:dyDescent="0.3">
      <c r="A701" s="513"/>
      <c r="B701" s="513"/>
      <c r="C701" s="513"/>
      <c r="D701" s="513"/>
      <c r="E701" s="515"/>
      <c r="F701" s="515"/>
      <c r="G701" s="515"/>
      <c r="H701" s="515"/>
      <c r="I701" s="515"/>
      <c r="J701" s="515"/>
      <c r="K701" s="516"/>
      <c r="L701" s="517"/>
      <c r="M701" s="517"/>
      <c r="N701" s="517"/>
      <c r="O701" s="518"/>
      <c r="P701" s="518"/>
    </row>
    <row r="702" spans="1:16" ht="21.75" customHeight="1" x14ac:dyDescent="0.3">
      <c r="A702" s="513"/>
      <c r="B702" s="513"/>
      <c r="C702" s="513"/>
      <c r="D702" s="513"/>
      <c r="E702" s="515"/>
      <c r="F702" s="515"/>
      <c r="G702" s="515"/>
      <c r="H702" s="515"/>
      <c r="I702" s="515"/>
      <c r="J702" s="515"/>
      <c r="K702" s="516"/>
      <c r="L702" s="517"/>
      <c r="M702" s="517"/>
      <c r="N702" s="517"/>
      <c r="O702" s="518"/>
      <c r="P702" s="518"/>
    </row>
    <row r="703" spans="1:16" ht="21.75" customHeight="1" x14ac:dyDescent="0.3">
      <c r="A703" s="513"/>
      <c r="B703" s="513"/>
      <c r="C703" s="513"/>
      <c r="D703" s="513"/>
      <c r="E703" s="515"/>
      <c r="F703" s="515"/>
      <c r="G703" s="515"/>
      <c r="H703" s="515"/>
      <c r="I703" s="515"/>
      <c r="J703" s="515"/>
      <c r="K703" s="516"/>
      <c r="L703" s="517"/>
      <c r="M703" s="517"/>
      <c r="N703" s="517"/>
      <c r="O703" s="518"/>
      <c r="P703" s="518"/>
    </row>
    <row r="704" spans="1:16" ht="21.75" customHeight="1" x14ac:dyDescent="0.3">
      <c r="A704" s="513"/>
      <c r="B704" s="513"/>
      <c r="C704" s="513"/>
      <c r="D704" s="513"/>
      <c r="E704" s="515"/>
      <c r="F704" s="515"/>
      <c r="G704" s="515"/>
      <c r="H704" s="515"/>
      <c r="I704" s="515"/>
      <c r="J704" s="515"/>
      <c r="K704" s="516"/>
      <c r="L704" s="517"/>
      <c r="M704" s="517"/>
      <c r="N704" s="517"/>
      <c r="O704" s="518"/>
      <c r="P704" s="518"/>
    </row>
    <row r="705" spans="1:16" ht="21.75" customHeight="1" x14ac:dyDescent="0.3">
      <c r="A705" s="513"/>
      <c r="B705" s="513"/>
      <c r="C705" s="513"/>
      <c r="D705" s="513"/>
      <c r="E705" s="515"/>
      <c r="F705" s="515"/>
      <c r="G705" s="515"/>
      <c r="H705" s="515"/>
      <c r="I705" s="515"/>
      <c r="J705" s="515"/>
      <c r="K705" s="516"/>
      <c r="L705" s="517"/>
      <c r="M705" s="517"/>
      <c r="N705" s="517"/>
      <c r="O705" s="518"/>
      <c r="P705" s="518"/>
    </row>
    <row r="706" spans="1:16" ht="21.75" customHeight="1" x14ac:dyDescent="0.3">
      <c r="A706" s="513"/>
      <c r="B706" s="513"/>
      <c r="C706" s="513"/>
      <c r="D706" s="513"/>
      <c r="E706" s="515"/>
      <c r="F706" s="515"/>
      <c r="G706" s="515"/>
      <c r="H706" s="515"/>
      <c r="I706" s="515"/>
      <c r="J706" s="515"/>
      <c r="K706" s="516"/>
      <c r="L706" s="517"/>
      <c r="M706" s="517"/>
      <c r="N706" s="517"/>
      <c r="O706" s="518"/>
      <c r="P706" s="518"/>
    </row>
    <row r="707" spans="1:16" ht="21.75" customHeight="1" x14ac:dyDescent="0.3">
      <c r="A707" s="513"/>
      <c r="B707" s="513"/>
      <c r="C707" s="513"/>
      <c r="D707" s="513"/>
      <c r="E707" s="515"/>
      <c r="F707" s="515"/>
      <c r="G707" s="515"/>
      <c r="H707" s="515"/>
      <c r="I707" s="515"/>
      <c r="J707" s="515"/>
      <c r="K707" s="516"/>
      <c r="L707" s="517"/>
      <c r="M707" s="517"/>
      <c r="N707" s="517"/>
      <c r="O707" s="518"/>
      <c r="P707" s="518"/>
    </row>
    <row r="708" spans="1:16" ht="21.75" customHeight="1" x14ac:dyDescent="0.3">
      <c r="A708" s="513"/>
      <c r="B708" s="513"/>
      <c r="C708" s="513"/>
      <c r="D708" s="513"/>
      <c r="E708" s="515"/>
      <c r="F708" s="515"/>
      <c r="G708" s="515"/>
      <c r="H708" s="515"/>
      <c r="I708" s="515"/>
      <c r="J708" s="515"/>
      <c r="K708" s="516"/>
      <c r="L708" s="517"/>
      <c r="M708" s="517"/>
      <c r="N708" s="517"/>
      <c r="O708" s="518"/>
      <c r="P708" s="518"/>
    </row>
    <row r="709" spans="1:16" ht="21.75" customHeight="1" x14ac:dyDescent="0.3">
      <c r="A709" s="513"/>
      <c r="B709" s="513"/>
      <c r="C709" s="513"/>
      <c r="D709" s="513"/>
      <c r="E709" s="515"/>
      <c r="F709" s="515"/>
      <c r="G709" s="515"/>
      <c r="H709" s="515"/>
      <c r="I709" s="515"/>
      <c r="J709" s="515"/>
      <c r="K709" s="516"/>
      <c r="L709" s="517"/>
      <c r="M709" s="517"/>
      <c r="N709" s="517"/>
      <c r="O709" s="518"/>
      <c r="P709" s="518"/>
    </row>
    <row r="710" spans="1:16" ht="21.75" customHeight="1" x14ac:dyDescent="0.3">
      <c r="A710" s="513"/>
      <c r="B710" s="513"/>
      <c r="C710" s="513"/>
      <c r="D710" s="513"/>
      <c r="E710" s="515"/>
      <c r="F710" s="515"/>
      <c r="G710" s="515"/>
      <c r="H710" s="515"/>
      <c r="I710" s="515"/>
      <c r="J710" s="515"/>
      <c r="K710" s="516"/>
      <c r="L710" s="517"/>
      <c r="M710" s="517"/>
      <c r="N710" s="517"/>
      <c r="O710" s="518"/>
      <c r="P710" s="518"/>
    </row>
    <row r="711" spans="1:16" ht="21.75" customHeight="1" x14ac:dyDescent="0.3">
      <c r="A711" s="513"/>
      <c r="B711" s="513"/>
      <c r="C711" s="513"/>
      <c r="D711" s="513"/>
      <c r="E711" s="515"/>
      <c r="F711" s="515"/>
      <c r="G711" s="515"/>
      <c r="H711" s="515"/>
      <c r="I711" s="515"/>
      <c r="J711" s="515"/>
      <c r="K711" s="516"/>
      <c r="L711" s="517"/>
      <c r="M711" s="517"/>
      <c r="N711" s="517"/>
      <c r="O711" s="518"/>
      <c r="P711" s="518"/>
    </row>
    <row r="712" spans="1:16" ht="21.75" customHeight="1" x14ac:dyDescent="0.3">
      <c r="A712" s="513"/>
      <c r="B712" s="513"/>
      <c r="C712" s="513"/>
      <c r="D712" s="513"/>
      <c r="E712" s="515"/>
      <c r="F712" s="515"/>
      <c r="G712" s="515"/>
      <c r="H712" s="515"/>
      <c r="I712" s="515"/>
      <c r="J712" s="515"/>
      <c r="K712" s="516"/>
      <c r="L712" s="517"/>
      <c r="M712" s="517"/>
      <c r="N712" s="517"/>
      <c r="O712" s="518"/>
      <c r="P712" s="518"/>
    </row>
    <row r="713" spans="1:16" ht="21.75" customHeight="1" x14ac:dyDescent="0.3">
      <c r="A713" s="513"/>
      <c r="B713" s="513"/>
      <c r="C713" s="513"/>
      <c r="D713" s="513"/>
      <c r="E713" s="515"/>
      <c r="F713" s="515"/>
      <c r="G713" s="515"/>
      <c r="H713" s="515"/>
      <c r="I713" s="515"/>
      <c r="J713" s="515"/>
      <c r="K713" s="516"/>
      <c r="L713" s="517"/>
      <c r="M713" s="517"/>
      <c r="N713" s="517"/>
      <c r="O713" s="518"/>
      <c r="P713" s="518"/>
    </row>
    <row r="714" spans="1:16" ht="21.75" customHeight="1" x14ac:dyDescent="0.3">
      <c r="A714" s="513"/>
      <c r="B714" s="513"/>
      <c r="C714" s="513"/>
      <c r="D714" s="513"/>
      <c r="E714" s="515"/>
      <c r="F714" s="515"/>
      <c r="G714" s="515"/>
      <c r="H714" s="515"/>
      <c r="I714" s="515"/>
      <c r="J714" s="515"/>
      <c r="K714" s="516"/>
      <c r="L714" s="517"/>
      <c r="M714" s="517"/>
      <c r="N714" s="517"/>
      <c r="O714" s="518"/>
      <c r="P714" s="518"/>
    </row>
    <row r="715" spans="1:16" ht="21.75" customHeight="1" x14ac:dyDescent="0.3">
      <c r="A715" s="513"/>
      <c r="B715" s="513"/>
      <c r="C715" s="513"/>
      <c r="D715" s="513"/>
      <c r="E715" s="515"/>
      <c r="F715" s="515"/>
      <c r="G715" s="515"/>
      <c r="H715" s="515"/>
      <c r="I715" s="515"/>
      <c r="J715" s="515"/>
      <c r="K715" s="516"/>
      <c r="L715" s="517"/>
      <c r="M715" s="517"/>
      <c r="N715" s="517"/>
      <c r="O715" s="518"/>
      <c r="P715" s="518"/>
    </row>
    <row r="716" spans="1:16" ht="21.75" customHeight="1" x14ac:dyDescent="0.3">
      <c r="A716" s="513"/>
      <c r="B716" s="513"/>
      <c r="C716" s="513"/>
      <c r="D716" s="513"/>
      <c r="E716" s="515"/>
      <c r="F716" s="515"/>
      <c r="G716" s="515"/>
      <c r="H716" s="515"/>
      <c r="I716" s="515"/>
      <c r="J716" s="515"/>
      <c r="K716" s="516"/>
      <c r="L716" s="517"/>
      <c r="M716" s="517"/>
      <c r="N716" s="517"/>
      <c r="O716" s="518"/>
      <c r="P716" s="518"/>
    </row>
    <row r="717" spans="1:16" ht="21.75" customHeight="1" x14ac:dyDescent="0.3">
      <c r="A717" s="513"/>
      <c r="B717" s="513"/>
      <c r="C717" s="513"/>
      <c r="D717" s="513"/>
      <c r="E717" s="515"/>
      <c r="F717" s="515"/>
      <c r="G717" s="515"/>
      <c r="H717" s="515"/>
      <c r="I717" s="515"/>
      <c r="J717" s="515"/>
      <c r="K717" s="516"/>
      <c r="L717" s="517"/>
      <c r="M717" s="517"/>
      <c r="N717" s="517"/>
      <c r="O717" s="518"/>
      <c r="P717" s="518"/>
    </row>
    <row r="718" spans="1:16" ht="21.75" customHeight="1" x14ac:dyDescent="0.3">
      <c r="A718" s="513"/>
      <c r="B718" s="513"/>
      <c r="C718" s="513"/>
      <c r="D718" s="513"/>
      <c r="E718" s="515"/>
      <c r="F718" s="515"/>
      <c r="G718" s="515"/>
      <c r="H718" s="515"/>
      <c r="I718" s="515"/>
      <c r="J718" s="515"/>
      <c r="K718" s="516"/>
      <c r="L718" s="517"/>
      <c r="M718" s="517"/>
      <c r="N718" s="517"/>
      <c r="O718" s="518"/>
      <c r="P718" s="518"/>
    </row>
    <row r="719" spans="1:16" ht="21.75" customHeight="1" x14ac:dyDescent="0.3">
      <c r="A719" s="513"/>
      <c r="B719" s="513"/>
      <c r="C719" s="513"/>
      <c r="D719" s="513"/>
      <c r="E719" s="515"/>
      <c r="F719" s="515"/>
      <c r="G719" s="515"/>
      <c r="H719" s="515"/>
      <c r="I719" s="515"/>
      <c r="J719" s="515"/>
      <c r="K719" s="516"/>
      <c r="L719" s="517"/>
      <c r="M719" s="517"/>
      <c r="N719" s="517"/>
      <c r="O719" s="518"/>
      <c r="P719" s="518"/>
    </row>
    <row r="720" spans="1:16" ht="21.75" customHeight="1" x14ac:dyDescent="0.3">
      <c r="A720" s="513"/>
      <c r="B720" s="513"/>
      <c r="C720" s="513"/>
      <c r="D720" s="513"/>
      <c r="E720" s="515"/>
      <c r="F720" s="515"/>
      <c r="G720" s="515"/>
      <c r="H720" s="515"/>
      <c r="I720" s="515"/>
      <c r="J720" s="515"/>
      <c r="K720" s="516"/>
      <c r="L720" s="517"/>
      <c r="M720" s="517"/>
      <c r="N720" s="517"/>
      <c r="O720" s="518"/>
      <c r="P720" s="518"/>
    </row>
    <row r="721" spans="1:16" ht="21.75" customHeight="1" x14ac:dyDescent="0.3">
      <c r="A721" s="513"/>
      <c r="B721" s="513"/>
      <c r="C721" s="513"/>
      <c r="D721" s="513"/>
      <c r="E721" s="515"/>
      <c r="F721" s="515"/>
      <c r="G721" s="515"/>
      <c r="H721" s="515"/>
      <c r="I721" s="515"/>
      <c r="J721" s="515"/>
      <c r="K721" s="516"/>
      <c r="L721" s="517"/>
      <c r="M721" s="517"/>
      <c r="N721" s="517"/>
      <c r="O721" s="518"/>
      <c r="P721" s="518"/>
    </row>
    <row r="722" spans="1:16" ht="21.75" customHeight="1" x14ac:dyDescent="0.3">
      <c r="A722" s="513"/>
      <c r="B722" s="513"/>
      <c r="C722" s="513"/>
      <c r="D722" s="513"/>
      <c r="E722" s="515"/>
      <c r="F722" s="515"/>
      <c r="G722" s="515"/>
      <c r="H722" s="515"/>
      <c r="I722" s="515"/>
      <c r="J722" s="515"/>
      <c r="K722" s="516"/>
      <c r="L722" s="517"/>
      <c r="M722" s="517"/>
      <c r="N722" s="517"/>
      <c r="O722" s="518"/>
      <c r="P722" s="518"/>
    </row>
    <row r="723" spans="1:16" ht="21.75" customHeight="1" x14ac:dyDescent="0.3">
      <c r="A723" s="513"/>
      <c r="B723" s="513"/>
      <c r="C723" s="513"/>
      <c r="D723" s="513"/>
      <c r="E723" s="515"/>
      <c r="F723" s="515"/>
      <c r="G723" s="515"/>
      <c r="H723" s="515"/>
      <c r="I723" s="515"/>
      <c r="J723" s="515"/>
      <c r="K723" s="516"/>
      <c r="L723" s="517"/>
      <c r="M723" s="517"/>
      <c r="N723" s="517"/>
      <c r="O723" s="518"/>
      <c r="P723" s="518"/>
    </row>
    <row r="724" spans="1:16" ht="21.75" customHeight="1" x14ac:dyDescent="0.3">
      <c r="A724" s="513"/>
      <c r="B724" s="513"/>
      <c r="C724" s="513"/>
      <c r="D724" s="513"/>
      <c r="E724" s="515"/>
      <c r="F724" s="515"/>
      <c r="G724" s="515"/>
      <c r="H724" s="515"/>
      <c r="I724" s="515"/>
      <c r="J724" s="515"/>
      <c r="K724" s="516"/>
      <c r="L724" s="517"/>
      <c r="M724" s="517"/>
      <c r="N724" s="517"/>
      <c r="O724" s="518"/>
      <c r="P724" s="518"/>
    </row>
    <row r="725" spans="1:16" ht="21.75" customHeight="1" x14ac:dyDescent="0.3">
      <c r="A725" s="513"/>
      <c r="B725" s="513"/>
      <c r="C725" s="513"/>
      <c r="D725" s="513"/>
      <c r="E725" s="515"/>
      <c r="F725" s="515"/>
      <c r="G725" s="515"/>
      <c r="H725" s="515"/>
      <c r="I725" s="515"/>
      <c r="J725" s="515"/>
      <c r="K725" s="516"/>
      <c r="L725" s="517"/>
      <c r="M725" s="517"/>
      <c r="N725" s="517"/>
      <c r="O725" s="518"/>
      <c r="P725" s="518"/>
    </row>
    <row r="726" spans="1:16" ht="21.75" customHeight="1" x14ac:dyDescent="0.3">
      <c r="A726" s="513"/>
      <c r="B726" s="513"/>
      <c r="C726" s="513"/>
      <c r="D726" s="513"/>
      <c r="E726" s="515"/>
      <c r="F726" s="515"/>
      <c r="G726" s="515"/>
      <c r="H726" s="515"/>
      <c r="I726" s="515"/>
      <c r="J726" s="515"/>
      <c r="K726" s="516"/>
      <c r="L726" s="517"/>
      <c r="M726" s="517"/>
      <c r="N726" s="517"/>
      <c r="O726" s="518"/>
      <c r="P726" s="518"/>
    </row>
    <row r="727" spans="1:16" ht="21.75" customHeight="1" x14ac:dyDescent="0.3">
      <c r="A727" s="513"/>
      <c r="B727" s="513"/>
      <c r="C727" s="513"/>
      <c r="D727" s="513"/>
      <c r="E727" s="515"/>
      <c r="F727" s="515"/>
      <c r="G727" s="515"/>
      <c r="H727" s="515"/>
      <c r="I727" s="515"/>
      <c r="J727" s="515"/>
      <c r="K727" s="516"/>
      <c r="L727" s="517"/>
      <c r="M727" s="517"/>
      <c r="N727" s="517"/>
      <c r="O727" s="518"/>
      <c r="P727" s="518"/>
    </row>
    <row r="728" spans="1:16" ht="21.75" customHeight="1" x14ac:dyDescent="0.3">
      <c r="A728" s="513"/>
      <c r="B728" s="513"/>
      <c r="C728" s="513"/>
      <c r="D728" s="513"/>
      <c r="E728" s="515"/>
      <c r="F728" s="515"/>
      <c r="G728" s="515"/>
      <c r="H728" s="515"/>
      <c r="I728" s="515"/>
      <c r="J728" s="515"/>
      <c r="K728" s="516"/>
      <c r="L728" s="517"/>
      <c r="M728" s="517"/>
      <c r="N728" s="517"/>
      <c r="O728" s="518"/>
      <c r="P728" s="518"/>
    </row>
    <row r="729" spans="1:16" ht="21.75" customHeight="1" x14ac:dyDescent="0.3">
      <c r="A729" s="513"/>
      <c r="B729" s="513"/>
      <c r="C729" s="513"/>
      <c r="D729" s="513"/>
      <c r="E729" s="515"/>
      <c r="F729" s="515"/>
      <c r="G729" s="515"/>
      <c r="H729" s="515"/>
      <c r="I729" s="515"/>
      <c r="J729" s="515"/>
      <c r="K729" s="516"/>
      <c r="L729" s="517"/>
      <c r="M729" s="517"/>
      <c r="N729" s="517"/>
      <c r="O729" s="518"/>
      <c r="P729" s="518"/>
    </row>
    <row r="730" spans="1:16" ht="21.75" customHeight="1" x14ac:dyDescent="0.3">
      <c r="A730" s="513"/>
      <c r="B730" s="513"/>
      <c r="C730" s="513"/>
      <c r="D730" s="513"/>
      <c r="E730" s="515"/>
      <c r="F730" s="515"/>
      <c r="G730" s="515"/>
      <c r="H730" s="515"/>
      <c r="I730" s="515"/>
      <c r="J730" s="515"/>
      <c r="K730" s="516"/>
      <c r="L730" s="517"/>
      <c r="M730" s="517"/>
      <c r="N730" s="517"/>
      <c r="O730" s="518"/>
      <c r="P730" s="518"/>
    </row>
    <row r="731" spans="1:16" ht="21.75" customHeight="1" x14ac:dyDescent="0.3">
      <c r="A731" s="513"/>
      <c r="B731" s="513"/>
      <c r="C731" s="513"/>
      <c r="D731" s="513"/>
      <c r="E731" s="515"/>
      <c r="F731" s="515"/>
      <c r="G731" s="515"/>
      <c r="H731" s="515"/>
      <c r="I731" s="515"/>
      <c r="J731" s="515"/>
      <c r="K731" s="516"/>
      <c r="L731" s="517"/>
      <c r="M731" s="517"/>
      <c r="N731" s="517"/>
      <c r="O731" s="518"/>
      <c r="P731" s="518"/>
    </row>
    <row r="732" spans="1:16" ht="21.75" customHeight="1" x14ac:dyDescent="0.3">
      <c r="A732" s="513"/>
      <c r="B732" s="513"/>
      <c r="C732" s="513"/>
      <c r="D732" s="513"/>
      <c r="E732" s="515"/>
      <c r="F732" s="515"/>
      <c r="G732" s="515"/>
      <c r="H732" s="515"/>
      <c r="I732" s="515"/>
      <c r="J732" s="515"/>
      <c r="K732" s="516"/>
      <c r="L732" s="517"/>
      <c r="M732" s="517"/>
      <c r="N732" s="517"/>
      <c r="O732" s="518"/>
      <c r="P732" s="518"/>
    </row>
    <row r="733" spans="1:16" ht="21.75" customHeight="1" x14ac:dyDescent="0.3">
      <c r="A733" s="513"/>
      <c r="B733" s="513"/>
      <c r="C733" s="513"/>
      <c r="D733" s="513"/>
      <c r="E733" s="515"/>
      <c r="F733" s="515"/>
      <c r="G733" s="515"/>
      <c r="H733" s="515"/>
      <c r="I733" s="515"/>
      <c r="J733" s="515"/>
      <c r="K733" s="516"/>
      <c r="L733" s="517"/>
      <c r="M733" s="517"/>
      <c r="N733" s="517"/>
      <c r="O733" s="518"/>
      <c r="P733" s="518"/>
    </row>
    <row r="734" spans="1:16" ht="21.75" customHeight="1" x14ac:dyDescent="0.3">
      <c r="A734" s="513"/>
      <c r="B734" s="513"/>
      <c r="C734" s="513"/>
      <c r="D734" s="513"/>
      <c r="E734" s="515"/>
      <c r="F734" s="515"/>
      <c r="G734" s="515"/>
      <c r="H734" s="515"/>
      <c r="I734" s="515"/>
      <c r="J734" s="515"/>
      <c r="K734" s="516"/>
      <c r="L734" s="517"/>
      <c r="M734" s="517"/>
      <c r="N734" s="517"/>
      <c r="O734" s="518"/>
      <c r="P734" s="518"/>
    </row>
    <row r="735" spans="1:16" ht="21.75" customHeight="1" x14ac:dyDescent="0.3">
      <c r="A735" s="513"/>
      <c r="B735" s="513"/>
      <c r="C735" s="513"/>
      <c r="D735" s="513"/>
      <c r="E735" s="515"/>
      <c r="F735" s="515"/>
      <c r="G735" s="515"/>
      <c r="H735" s="515"/>
      <c r="I735" s="515"/>
      <c r="J735" s="515"/>
      <c r="K735" s="516"/>
      <c r="L735" s="517"/>
      <c r="M735" s="517"/>
      <c r="N735" s="517"/>
      <c r="O735" s="518"/>
      <c r="P735" s="518"/>
    </row>
    <row r="736" spans="1:16" ht="21.75" customHeight="1" x14ac:dyDescent="0.3">
      <c r="A736" s="513"/>
      <c r="B736" s="513"/>
      <c r="C736" s="513"/>
      <c r="D736" s="513"/>
      <c r="E736" s="515"/>
      <c r="F736" s="515"/>
      <c r="G736" s="515"/>
      <c r="H736" s="515"/>
      <c r="I736" s="515"/>
      <c r="J736" s="515"/>
      <c r="K736" s="516"/>
      <c r="L736" s="517"/>
      <c r="M736" s="517"/>
      <c r="N736" s="517"/>
      <c r="O736" s="518"/>
      <c r="P736" s="518"/>
    </row>
    <row r="737" spans="1:16" ht="21.75" customHeight="1" x14ac:dyDescent="0.3">
      <c r="A737" s="513"/>
      <c r="B737" s="513"/>
      <c r="C737" s="513"/>
      <c r="D737" s="513"/>
      <c r="E737" s="515"/>
      <c r="F737" s="515"/>
      <c r="G737" s="515"/>
      <c r="H737" s="515"/>
      <c r="I737" s="515"/>
      <c r="J737" s="515"/>
      <c r="K737" s="516"/>
      <c r="L737" s="517"/>
      <c r="M737" s="517"/>
      <c r="N737" s="517"/>
      <c r="O737" s="518"/>
      <c r="P737" s="518"/>
    </row>
    <row r="738" spans="1:16" ht="21.75" customHeight="1" x14ac:dyDescent="0.3">
      <c r="A738" s="513"/>
      <c r="B738" s="513"/>
      <c r="C738" s="513"/>
      <c r="D738" s="513"/>
      <c r="E738" s="515"/>
      <c r="F738" s="515"/>
      <c r="G738" s="515"/>
      <c r="H738" s="515"/>
      <c r="I738" s="515"/>
      <c r="J738" s="515"/>
      <c r="K738" s="516"/>
      <c r="L738" s="517"/>
      <c r="M738" s="517"/>
      <c r="N738" s="517"/>
      <c r="O738" s="518"/>
      <c r="P738" s="518"/>
    </row>
    <row r="739" spans="1:16" ht="21.75" customHeight="1" x14ac:dyDescent="0.3">
      <c r="A739" s="513"/>
      <c r="B739" s="513"/>
      <c r="C739" s="513"/>
      <c r="D739" s="513"/>
      <c r="E739" s="515"/>
      <c r="F739" s="515"/>
      <c r="G739" s="515"/>
      <c r="H739" s="515"/>
      <c r="I739" s="515"/>
      <c r="J739" s="515"/>
      <c r="K739" s="516"/>
      <c r="L739" s="517"/>
      <c r="M739" s="517"/>
      <c r="N739" s="517"/>
      <c r="O739" s="518"/>
      <c r="P739" s="518"/>
    </row>
    <row r="740" spans="1:16" ht="21.75" customHeight="1" x14ac:dyDescent="0.3">
      <c r="A740" s="513"/>
      <c r="B740" s="513"/>
      <c r="C740" s="513"/>
      <c r="D740" s="513"/>
      <c r="E740" s="515"/>
      <c r="F740" s="515"/>
      <c r="G740" s="515"/>
      <c r="H740" s="515"/>
      <c r="I740" s="515"/>
      <c r="J740" s="515"/>
      <c r="K740" s="516"/>
      <c r="L740" s="517"/>
      <c r="M740" s="517"/>
      <c r="N740" s="517"/>
      <c r="O740" s="518"/>
      <c r="P740" s="518"/>
    </row>
    <row r="741" spans="1:16" ht="21.75" customHeight="1" x14ac:dyDescent="0.3">
      <c r="A741" s="513"/>
      <c r="B741" s="513"/>
      <c r="C741" s="513"/>
      <c r="D741" s="513"/>
      <c r="E741" s="515"/>
      <c r="F741" s="515"/>
      <c r="G741" s="515"/>
      <c r="H741" s="515"/>
      <c r="I741" s="515"/>
      <c r="J741" s="515"/>
      <c r="K741" s="516"/>
      <c r="L741" s="517"/>
      <c r="M741" s="517"/>
      <c r="N741" s="517"/>
      <c r="O741" s="518"/>
      <c r="P741" s="518"/>
    </row>
    <row r="742" spans="1:16" ht="21.75" customHeight="1" x14ac:dyDescent="0.3">
      <c r="A742" s="513"/>
      <c r="B742" s="513"/>
      <c r="C742" s="513"/>
      <c r="D742" s="513"/>
      <c r="E742" s="515"/>
      <c r="F742" s="515"/>
      <c r="G742" s="515"/>
      <c r="H742" s="515"/>
      <c r="I742" s="515"/>
      <c r="J742" s="515"/>
      <c r="K742" s="516"/>
      <c r="L742" s="517"/>
      <c r="M742" s="517"/>
      <c r="N742" s="517"/>
      <c r="O742" s="518"/>
      <c r="P742" s="518"/>
    </row>
    <row r="743" spans="1:16" ht="21.75" customHeight="1" x14ac:dyDescent="0.3">
      <c r="A743" s="513"/>
      <c r="B743" s="513"/>
      <c r="C743" s="513"/>
      <c r="D743" s="513"/>
      <c r="E743" s="515"/>
      <c r="F743" s="515"/>
      <c r="G743" s="515"/>
      <c r="H743" s="515"/>
      <c r="I743" s="515"/>
      <c r="J743" s="515"/>
      <c r="K743" s="516"/>
      <c r="L743" s="517"/>
      <c r="M743" s="517"/>
      <c r="N743" s="517"/>
      <c r="O743" s="518"/>
      <c r="P743" s="518"/>
    </row>
    <row r="744" spans="1:16" ht="21.75" customHeight="1" x14ac:dyDescent="0.3">
      <c r="A744" s="513"/>
      <c r="B744" s="513"/>
      <c r="C744" s="513"/>
      <c r="D744" s="513"/>
      <c r="E744" s="515"/>
      <c r="F744" s="515"/>
      <c r="G744" s="515"/>
      <c r="H744" s="515"/>
      <c r="I744" s="515"/>
      <c r="J744" s="515"/>
      <c r="K744" s="516"/>
      <c r="L744" s="517"/>
      <c r="M744" s="517"/>
      <c r="N744" s="517"/>
      <c r="O744" s="518"/>
      <c r="P744" s="518"/>
    </row>
    <row r="745" spans="1:16" ht="21.75" customHeight="1" x14ac:dyDescent="0.3">
      <c r="A745" s="513"/>
      <c r="B745" s="513"/>
      <c r="C745" s="513"/>
      <c r="D745" s="513"/>
      <c r="E745" s="515"/>
      <c r="F745" s="515"/>
      <c r="G745" s="515"/>
      <c r="H745" s="515"/>
      <c r="I745" s="515"/>
      <c r="J745" s="515"/>
      <c r="K745" s="516"/>
      <c r="L745" s="517"/>
      <c r="M745" s="517"/>
      <c r="N745" s="517"/>
      <c r="O745" s="518"/>
      <c r="P745" s="518"/>
    </row>
    <row r="746" spans="1:16" ht="21.75" customHeight="1" x14ac:dyDescent="0.3">
      <c r="A746" s="513"/>
      <c r="B746" s="513"/>
      <c r="C746" s="513"/>
      <c r="D746" s="513"/>
      <c r="E746" s="515"/>
      <c r="F746" s="515"/>
      <c r="G746" s="515"/>
      <c r="H746" s="515"/>
      <c r="I746" s="515"/>
      <c r="J746" s="515"/>
      <c r="K746" s="516"/>
      <c r="L746" s="517"/>
      <c r="M746" s="517"/>
      <c r="N746" s="517"/>
      <c r="O746" s="518"/>
      <c r="P746" s="518"/>
    </row>
    <row r="747" spans="1:16" ht="21.75" customHeight="1" x14ac:dyDescent="0.3">
      <c r="A747" s="513"/>
      <c r="B747" s="513"/>
      <c r="C747" s="513"/>
      <c r="D747" s="513"/>
      <c r="E747" s="515"/>
      <c r="F747" s="515"/>
      <c r="G747" s="515"/>
      <c r="H747" s="515"/>
      <c r="I747" s="515"/>
      <c r="J747" s="515"/>
      <c r="K747" s="516"/>
      <c r="L747" s="517"/>
      <c r="M747" s="517"/>
      <c r="N747" s="517"/>
      <c r="O747" s="518"/>
      <c r="P747" s="518"/>
    </row>
    <row r="748" spans="1:16" ht="21.75" customHeight="1" x14ac:dyDescent="0.3">
      <c r="A748" s="513"/>
      <c r="B748" s="513"/>
      <c r="C748" s="513"/>
      <c r="D748" s="513"/>
      <c r="E748" s="515"/>
      <c r="F748" s="515"/>
      <c r="G748" s="515"/>
      <c r="H748" s="515"/>
      <c r="I748" s="515"/>
      <c r="J748" s="515"/>
      <c r="K748" s="516"/>
      <c r="L748" s="517"/>
      <c r="M748" s="517"/>
      <c r="N748" s="517"/>
      <c r="O748" s="518"/>
      <c r="P748" s="518"/>
    </row>
    <row r="749" spans="1:16" ht="21.75" customHeight="1" x14ac:dyDescent="0.3">
      <c r="A749" s="513"/>
      <c r="B749" s="513"/>
      <c r="C749" s="513"/>
      <c r="D749" s="513"/>
      <c r="E749" s="515"/>
      <c r="F749" s="515"/>
      <c r="G749" s="515"/>
      <c r="H749" s="515"/>
      <c r="I749" s="515"/>
      <c r="J749" s="515"/>
      <c r="K749" s="516"/>
      <c r="L749" s="517"/>
      <c r="M749" s="517"/>
      <c r="N749" s="517"/>
      <c r="O749" s="518"/>
      <c r="P749" s="518"/>
    </row>
    <row r="750" spans="1:16" ht="21.75" customHeight="1" x14ac:dyDescent="0.3">
      <c r="A750" s="513"/>
      <c r="B750" s="513"/>
      <c r="C750" s="513"/>
      <c r="D750" s="513"/>
      <c r="E750" s="515"/>
      <c r="F750" s="515"/>
      <c r="G750" s="515"/>
      <c r="H750" s="515"/>
      <c r="I750" s="515"/>
      <c r="J750" s="515"/>
      <c r="K750" s="516"/>
      <c r="L750" s="517"/>
      <c r="M750" s="517"/>
      <c r="N750" s="517"/>
      <c r="O750" s="518"/>
      <c r="P750" s="518"/>
    </row>
    <row r="751" spans="1:16" ht="21.75" customHeight="1" x14ac:dyDescent="0.3">
      <c r="A751" s="513"/>
      <c r="B751" s="513"/>
      <c r="C751" s="513"/>
      <c r="D751" s="513"/>
      <c r="E751" s="515"/>
      <c r="F751" s="515"/>
      <c r="G751" s="515"/>
      <c r="H751" s="515"/>
      <c r="I751" s="515"/>
      <c r="J751" s="515"/>
      <c r="K751" s="516"/>
      <c r="L751" s="517"/>
      <c r="M751" s="517"/>
      <c r="N751" s="517"/>
      <c r="O751" s="518"/>
      <c r="P751" s="518"/>
    </row>
    <row r="752" spans="1:16" ht="21.75" customHeight="1" x14ac:dyDescent="0.3">
      <c r="A752" s="513"/>
      <c r="B752" s="513"/>
      <c r="C752" s="513"/>
      <c r="D752" s="513"/>
      <c r="E752" s="515"/>
      <c r="F752" s="515"/>
      <c r="G752" s="515"/>
      <c r="H752" s="515"/>
      <c r="I752" s="515"/>
      <c r="J752" s="515"/>
      <c r="K752" s="516"/>
      <c r="L752" s="517"/>
      <c r="M752" s="517"/>
      <c r="N752" s="517"/>
      <c r="O752" s="518"/>
      <c r="P752" s="518"/>
    </row>
    <row r="753" spans="1:16" ht="21.75" customHeight="1" x14ac:dyDescent="0.3">
      <c r="A753" s="513"/>
      <c r="B753" s="513"/>
      <c r="C753" s="513"/>
      <c r="D753" s="513"/>
      <c r="E753" s="515"/>
      <c r="F753" s="515"/>
      <c r="G753" s="515"/>
      <c r="H753" s="515"/>
      <c r="I753" s="515"/>
      <c r="J753" s="515"/>
      <c r="K753" s="516"/>
      <c r="L753" s="517"/>
      <c r="M753" s="517"/>
      <c r="N753" s="517"/>
      <c r="O753" s="518"/>
      <c r="P753" s="518"/>
    </row>
    <row r="754" spans="1:16" ht="21.75" customHeight="1" x14ac:dyDescent="0.3">
      <c r="A754" s="513"/>
      <c r="B754" s="513"/>
      <c r="C754" s="513"/>
      <c r="D754" s="513"/>
      <c r="E754" s="515"/>
      <c r="F754" s="515"/>
      <c r="G754" s="515"/>
      <c r="H754" s="515"/>
      <c r="I754" s="515"/>
      <c r="J754" s="515"/>
      <c r="K754" s="516"/>
      <c r="L754" s="517"/>
      <c r="M754" s="517"/>
      <c r="N754" s="517"/>
      <c r="O754" s="518"/>
      <c r="P754" s="518"/>
    </row>
    <row r="755" spans="1:16" ht="21.75" customHeight="1" x14ac:dyDescent="0.3">
      <c r="A755" s="513"/>
      <c r="B755" s="513"/>
      <c r="C755" s="513"/>
      <c r="D755" s="513"/>
      <c r="E755" s="515"/>
      <c r="F755" s="515"/>
      <c r="G755" s="515"/>
      <c r="H755" s="515"/>
      <c r="I755" s="515"/>
      <c r="J755" s="515"/>
      <c r="K755" s="516"/>
      <c r="L755" s="517"/>
      <c r="M755" s="517"/>
      <c r="N755" s="517"/>
      <c r="O755" s="518"/>
      <c r="P755" s="518"/>
    </row>
    <row r="756" spans="1:16" ht="21.75" customHeight="1" x14ac:dyDescent="0.3">
      <c r="A756" s="513"/>
      <c r="B756" s="513"/>
      <c r="C756" s="513"/>
      <c r="D756" s="513"/>
      <c r="E756" s="515"/>
      <c r="F756" s="515"/>
      <c r="G756" s="515"/>
      <c r="H756" s="515"/>
      <c r="I756" s="515"/>
      <c r="J756" s="515"/>
      <c r="K756" s="516"/>
      <c r="L756" s="517"/>
      <c r="M756" s="517"/>
      <c r="N756" s="517"/>
      <c r="O756" s="518"/>
      <c r="P756" s="518"/>
    </row>
    <row r="757" spans="1:16" ht="21.75" customHeight="1" x14ac:dyDescent="0.3">
      <c r="A757" s="513"/>
      <c r="B757" s="513"/>
      <c r="C757" s="513"/>
      <c r="D757" s="513"/>
      <c r="E757" s="515"/>
      <c r="F757" s="515"/>
      <c r="G757" s="515"/>
      <c r="H757" s="515"/>
      <c r="I757" s="515"/>
      <c r="J757" s="515"/>
      <c r="K757" s="516"/>
      <c r="L757" s="517"/>
      <c r="M757" s="517"/>
      <c r="N757" s="517"/>
      <c r="O757" s="518"/>
      <c r="P757" s="518"/>
    </row>
    <row r="758" spans="1:16" ht="21.75" customHeight="1" x14ac:dyDescent="0.3">
      <c r="A758" s="513"/>
      <c r="B758" s="513"/>
      <c r="C758" s="513"/>
      <c r="D758" s="513"/>
      <c r="E758" s="515"/>
      <c r="F758" s="515"/>
      <c r="G758" s="515"/>
      <c r="H758" s="515"/>
      <c r="I758" s="515"/>
      <c r="J758" s="515"/>
      <c r="K758" s="516"/>
      <c r="L758" s="517"/>
      <c r="M758" s="517"/>
      <c r="N758" s="517"/>
      <c r="O758" s="518"/>
      <c r="P758" s="518"/>
    </row>
    <row r="759" spans="1:16" ht="21.75" customHeight="1" x14ac:dyDescent="0.3">
      <c r="A759" s="513"/>
      <c r="B759" s="513"/>
      <c r="C759" s="513"/>
      <c r="D759" s="513"/>
      <c r="E759" s="515"/>
      <c r="F759" s="515"/>
      <c r="G759" s="515"/>
      <c r="H759" s="515"/>
      <c r="I759" s="515"/>
      <c r="J759" s="515"/>
      <c r="K759" s="516"/>
      <c r="L759" s="517"/>
      <c r="M759" s="517"/>
      <c r="N759" s="517"/>
      <c r="O759" s="518"/>
      <c r="P759" s="518"/>
    </row>
    <row r="760" spans="1:16" ht="21.75" customHeight="1" x14ac:dyDescent="0.3">
      <c r="A760" s="513"/>
      <c r="B760" s="513"/>
      <c r="C760" s="513"/>
      <c r="D760" s="513"/>
      <c r="E760" s="515"/>
      <c r="F760" s="515"/>
      <c r="G760" s="515"/>
      <c r="H760" s="515"/>
      <c r="I760" s="515"/>
      <c r="J760" s="515"/>
      <c r="K760" s="516"/>
      <c r="L760" s="517"/>
      <c r="M760" s="517"/>
      <c r="N760" s="517"/>
      <c r="O760" s="518"/>
      <c r="P760" s="518"/>
    </row>
    <row r="761" spans="1:16" ht="21.75" customHeight="1" x14ac:dyDescent="0.3">
      <c r="A761" s="513"/>
      <c r="B761" s="513"/>
      <c r="C761" s="513"/>
      <c r="D761" s="513"/>
      <c r="E761" s="515"/>
      <c r="F761" s="515"/>
      <c r="G761" s="515"/>
      <c r="H761" s="515"/>
      <c r="I761" s="515"/>
      <c r="J761" s="515"/>
      <c r="K761" s="516"/>
      <c r="L761" s="517"/>
      <c r="M761" s="517"/>
      <c r="N761" s="517"/>
      <c r="O761" s="518"/>
      <c r="P761" s="518"/>
    </row>
    <row r="762" spans="1:16" ht="21.75" customHeight="1" x14ac:dyDescent="0.3">
      <c r="A762" s="513"/>
      <c r="B762" s="513"/>
      <c r="C762" s="513"/>
      <c r="D762" s="513"/>
      <c r="E762" s="515"/>
      <c r="F762" s="515"/>
      <c r="G762" s="515"/>
      <c r="H762" s="515"/>
      <c r="I762" s="515"/>
      <c r="J762" s="515"/>
      <c r="K762" s="516"/>
      <c r="L762" s="517"/>
      <c r="M762" s="517"/>
      <c r="N762" s="517"/>
      <c r="O762" s="518"/>
      <c r="P762" s="518"/>
    </row>
    <row r="763" spans="1:16" ht="21.75" customHeight="1" x14ac:dyDescent="0.3">
      <c r="A763" s="513"/>
      <c r="B763" s="513"/>
      <c r="C763" s="513"/>
      <c r="D763" s="513"/>
      <c r="E763" s="515"/>
      <c r="F763" s="515"/>
      <c r="G763" s="515"/>
      <c r="H763" s="515"/>
      <c r="I763" s="515"/>
      <c r="J763" s="515"/>
      <c r="K763" s="516"/>
      <c r="L763" s="517"/>
      <c r="M763" s="517"/>
      <c r="N763" s="517"/>
      <c r="O763" s="518"/>
      <c r="P763" s="518"/>
    </row>
    <row r="764" spans="1:16" ht="21.75" customHeight="1" x14ac:dyDescent="0.3">
      <c r="A764" s="513"/>
      <c r="B764" s="513"/>
      <c r="C764" s="513"/>
      <c r="D764" s="513"/>
      <c r="E764" s="515"/>
      <c r="F764" s="515"/>
      <c r="G764" s="515"/>
      <c r="H764" s="515"/>
      <c r="I764" s="515"/>
      <c r="J764" s="515"/>
      <c r="K764" s="516"/>
      <c r="L764" s="517"/>
      <c r="M764" s="517"/>
      <c r="N764" s="517"/>
      <c r="O764" s="518"/>
      <c r="P764" s="518"/>
    </row>
    <row r="765" spans="1:16" ht="21.75" customHeight="1" x14ac:dyDescent="0.3">
      <c r="A765" s="513"/>
      <c r="B765" s="513"/>
      <c r="C765" s="513"/>
      <c r="D765" s="513"/>
      <c r="E765" s="515"/>
      <c r="F765" s="515"/>
      <c r="G765" s="515"/>
      <c r="H765" s="515"/>
      <c r="I765" s="515"/>
      <c r="J765" s="515"/>
      <c r="K765" s="516"/>
      <c r="L765" s="517"/>
      <c r="M765" s="517"/>
      <c r="N765" s="517"/>
      <c r="O765" s="518"/>
      <c r="P765" s="518"/>
    </row>
    <row r="766" spans="1:16" ht="21.75" customHeight="1" x14ac:dyDescent="0.3">
      <c r="A766" s="513"/>
      <c r="B766" s="513"/>
      <c r="C766" s="513"/>
      <c r="D766" s="513"/>
      <c r="E766" s="515"/>
      <c r="F766" s="515"/>
      <c r="G766" s="515"/>
      <c r="H766" s="515"/>
      <c r="I766" s="515"/>
      <c r="J766" s="515"/>
      <c r="K766" s="516"/>
      <c r="L766" s="517"/>
      <c r="M766" s="517"/>
      <c r="N766" s="517"/>
      <c r="O766" s="518"/>
      <c r="P766" s="518"/>
    </row>
    <row r="767" spans="1:16" ht="21.75" customHeight="1" x14ac:dyDescent="0.3">
      <c r="A767" s="513"/>
      <c r="B767" s="513"/>
      <c r="C767" s="513"/>
      <c r="D767" s="513"/>
      <c r="E767" s="515"/>
      <c r="F767" s="515"/>
      <c r="G767" s="515"/>
      <c r="H767" s="515"/>
      <c r="I767" s="515"/>
      <c r="J767" s="515"/>
      <c r="K767" s="516"/>
      <c r="L767" s="517"/>
      <c r="M767" s="517"/>
      <c r="N767" s="517"/>
      <c r="O767" s="518"/>
      <c r="P767" s="518"/>
    </row>
    <row r="768" spans="1:16" ht="21.75" customHeight="1" x14ac:dyDescent="0.3">
      <c r="A768" s="513"/>
      <c r="B768" s="513"/>
      <c r="C768" s="513"/>
      <c r="D768" s="513"/>
      <c r="E768" s="515"/>
      <c r="F768" s="515"/>
      <c r="G768" s="515"/>
      <c r="H768" s="515"/>
      <c r="I768" s="515"/>
      <c r="J768" s="515"/>
      <c r="K768" s="516"/>
      <c r="L768" s="517"/>
      <c r="M768" s="517"/>
      <c r="N768" s="517"/>
      <c r="O768" s="518"/>
      <c r="P768" s="518"/>
    </row>
    <row r="769" spans="1:16" ht="21.75" customHeight="1" x14ac:dyDescent="0.3">
      <c r="A769" s="513"/>
      <c r="B769" s="513"/>
      <c r="C769" s="513"/>
      <c r="D769" s="513"/>
      <c r="E769" s="515"/>
      <c r="F769" s="515"/>
      <c r="G769" s="515"/>
      <c r="H769" s="515"/>
      <c r="I769" s="515"/>
      <c r="J769" s="515"/>
      <c r="K769" s="516"/>
      <c r="L769" s="517"/>
      <c r="M769" s="517"/>
      <c r="N769" s="517"/>
      <c r="O769" s="518"/>
      <c r="P769" s="518"/>
    </row>
    <row r="770" spans="1:16" ht="21.75" customHeight="1" x14ac:dyDescent="0.3">
      <c r="A770" s="513"/>
      <c r="B770" s="513"/>
      <c r="C770" s="513"/>
      <c r="D770" s="513"/>
      <c r="E770" s="515"/>
      <c r="F770" s="515"/>
      <c r="G770" s="515"/>
      <c r="H770" s="515"/>
      <c r="I770" s="515"/>
      <c r="J770" s="515"/>
      <c r="K770" s="516"/>
      <c r="L770" s="517"/>
      <c r="M770" s="517"/>
      <c r="N770" s="517"/>
      <c r="O770" s="518"/>
      <c r="P770" s="518"/>
    </row>
    <row r="771" spans="1:16" ht="21.75" customHeight="1" x14ac:dyDescent="0.3">
      <c r="A771" s="513"/>
      <c r="B771" s="513"/>
      <c r="C771" s="513"/>
      <c r="D771" s="513"/>
      <c r="E771" s="515"/>
      <c r="F771" s="515"/>
      <c r="G771" s="515"/>
      <c r="H771" s="515"/>
      <c r="I771" s="515"/>
      <c r="J771" s="515"/>
      <c r="K771" s="516"/>
      <c r="L771" s="517"/>
      <c r="M771" s="517"/>
      <c r="N771" s="517"/>
      <c r="O771" s="518"/>
      <c r="P771" s="518"/>
    </row>
    <row r="772" spans="1:16" ht="21.75" customHeight="1" x14ac:dyDescent="0.3">
      <c r="A772" s="513"/>
      <c r="B772" s="513"/>
      <c r="C772" s="513"/>
      <c r="D772" s="513"/>
      <c r="E772" s="515"/>
      <c r="F772" s="515"/>
      <c r="G772" s="515"/>
      <c r="H772" s="515"/>
      <c r="I772" s="515"/>
      <c r="J772" s="515"/>
      <c r="K772" s="516"/>
      <c r="L772" s="517"/>
      <c r="M772" s="517"/>
      <c r="N772" s="517"/>
      <c r="O772" s="518"/>
      <c r="P772" s="518"/>
    </row>
    <row r="773" spans="1:16" ht="21.75" customHeight="1" x14ac:dyDescent="0.3">
      <c r="A773" s="513"/>
      <c r="B773" s="513"/>
      <c r="C773" s="513"/>
      <c r="D773" s="513"/>
      <c r="E773" s="515"/>
      <c r="F773" s="515"/>
      <c r="G773" s="515"/>
      <c r="H773" s="515"/>
      <c r="I773" s="515"/>
      <c r="J773" s="515"/>
      <c r="K773" s="516"/>
      <c r="L773" s="517"/>
      <c r="M773" s="517"/>
      <c r="N773" s="517"/>
      <c r="O773" s="518"/>
      <c r="P773" s="518"/>
    </row>
    <row r="774" spans="1:16" ht="21.75" customHeight="1" x14ac:dyDescent="0.3">
      <c r="A774" s="513"/>
      <c r="B774" s="513"/>
      <c r="C774" s="513"/>
      <c r="D774" s="513"/>
      <c r="E774" s="515"/>
      <c r="F774" s="515"/>
      <c r="G774" s="515"/>
      <c r="H774" s="515"/>
      <c r="I774" s="515"/>
      <c r="J774" s="515"/>
      <c r="K774" s="516"/>
      <c r="L774" s="517"/>
      <c r="M774" s="517"/>
      <c r="N774" s="517"/>
      <c r="O774" s="518"/>
      <c r="P774" s="518"/>
    </row>
    <row r="775" spans="1:16" ht="21.75" customHeight="1" x14ac:dyDescent="0.3">
      <c r="A775" s="513"/>
      <c r="B775" s="513"/>
      <c r="C775" s="513"/>
      <c r="D775" s="513"/>
      <c r="E775" s="515"/>
      <c r="F775" s="515"/>
      <c r="G775" s="515"/>
      <c r="H775" s="515"/>
      <c r="I775" s="515"/>
      <c r="J775" s="515"/>
      <c r="K775" s="516"/>
      <c r="L775" s="517"/>
      <c r="M775" s="517"/>
      <c r="N775" s="517"/>
      <c r="O775" s="518"/>
      <c r="P775" s="518"/>
    </row>
    <row r="776" spans="1:16" ht="21.75" customHeight="1" x14ac:dyDescent="0.3">
      <c r="A776" s="513"/>
      <c r="B776" s="513"/>
      <c r="C776" s="513"/>
      <c r="D776" s="513"/>
      <c r="E776" s="515"/>
      <c r="F776" s="515"/>
      <c r="G776" s="515"/>
      <c r="H776" s="515"/>
      <c r="I776" s="515"/>
      <c r="J776" s="515"/>
      <c r="K776" s="516"/>
      <c r="L776" s="517"/>
      <c r="M776" s="517"/>
      <c r="N776" s="517"/>
      <c r="O776" s="518"/>
      <c r="P776" s="518"/>
    </row>
    <row r="777" spans="1:16" ht="21.75" customHeight="1" x14ac:dyDescent="0.3">
      <c r="A777" s="513"/>
      <c r="B777" s="513"/>
      <c r="C777" s="513"/>
      <c r="D777" s="513"/>
      <c r="E777" s="515"/>
      <c r="F777" s="515"/>
      <c r="G777" s="515"/>
      <c r="H777" s="515"/>
      <c r="I777" s="515"/>
      <c r="J777" s="515"/>
      <c r="K777" s="516"/>
      <c r="L777" s="517"/>
      <c r="M777" s="517"/>
      <c r="N777" s="517"/>
      <c r="O777" s="518"/>
      <c r="P777" s="518"/>
    </row>
    <row r="778" spans="1:16" ht="21.75" customHeight="1" x14ac:dyDescent="0.3">
      <c r="A778" s="513"/>
      <c r="B778" s="513"/>
      <c r="C778" s="513"/>
      <c r="D778" s="513"/>
      <c r="E778" s="515"/>
      <c r="F778" s="515"/>
      <c r="G778" s="515"/>
      <c r="H778" s="515"/>
      <c r="I778" s="515"/>
      <c r="J778" s="515"/>
      <c r="K778" s="516"/>
      <c r="L778" s="517"/>
      <c r="M778" s="517"/>
      <c r="N778" s="517"/>
      <c r="O778" s="518"/>
      <c r="P778" s="518"/>
    </row>
    <row r="779" spans="1:16" ht="21.75" customHeight="1" x14ac:dyDescent="0.3">
      <c r="A779" s="513"/>
      <c r="B779" s="513"/>
      <c r="C779" s="513"/>
      <c r="D779" s="513"/>
      <c r="E779" s="515"/>
      <c r="F779" s="515"/>
      <c r="G779" s="515"/>
      <c r="H779" s="515"/>
      <c r="I779" s="515"/>
      <c r="J779" s="515"/>
      <c r="K779" s="516"/>
      <c r="L779" s="517"/>
      <c r="M779" s="517"/>
      <c r="N779" s="517"/>
      <c r="O779" s="518"/>
      <c r="P779" s="518"/>
    </row>
    <row r="780" spans="1:16" ht="21.75" customHeight="1" x14ac:dyDescent="0.3">
      <c r="A780" s="513"/>
      <c r="B780" s="513"/>
      <c r="C780" s="513"/>
      <c r="D780" s="513"/>
      <c r="E780" s="515"/>
      <c r="F780" s="515"/>
      <c r="G780" s="515"/>
      <c r="H780" s="515"/>
      <c r="I780" s="515"/>
      <c r="J780" s="515"/>
      <c r="K780" s="516"/>
      <c r="L780" s="517"/>
      <c r="M780" s="517"/>
      <c r="N780" s="517"/>
      <c r="O780" s="518"/>
      <c r="P780" s="518"/>
    </row>
    <row r="781" spans="1:16" ht="21.75" customHeight="1" x14ac:dyDescent="0.3">
      <c r="A781" s="513"/>
      <c r="B781" s="513"/>
      <c r="C781" s="513"/>
      <c r="D781" s="513"/>
      <c r="E781" s="515"/>
      <c r="F781" s="515"/>
      <c r="G781" s="515"/>
      <c r="H781" s="515"/>
      <c r="I781" s="515"/>
      <c r="J781" s="515"/>
      <c r="K781" s="516"/>
      <c r="L781" s="517"/>
      <c r="M781" s="517"/>
      <c r="N781" s="517"/>
      <c r="O781" s="518"/>
      <c r="P781" s="518"/>
    </row>
    <row r="782" spans="1:16" ht="21.75" customHeight="1" x14ac:dyDescent="0.3">
      <c r="A782" s="513"/>
      <c r="B782" s="513"/>
      <c r="C782" s="513"/>
      <c r="D782" s="513"/>
      <c r="E782" s="515"/>
      <c r="F782" s="515"/>
      <c r="G782" s="515"/>
      <c r="H782" s="515"/>
      <c r="I782" s="515"/>
      <c r="J782" s="515"/>
      <c r="K782" s="516"/>
      <c r="L782" s="517"/>
      <c r="M782" s="517"/>
      <c r="N782" s="517"/>
      <c r="O782" s="518"/>
      <c r="P782" s="518"/>
    </row>
    <row r="783" spans="1:16" ht="21.75" customHeight="1" x14ac:dyDescent="0.3">
      <c r="A783" s="513"/>
      <c r="B783" s="513"/>
      <c r="C783" s="513"/>
      <c r="D783" s="513"/>
      <c r="E783" s="515"/>
      <c r="F783" s="515"/>
      <c r="G783" s="515"/>
      <c r="H783" s="515"/>
      <c r="I783" s="515"/>
      <c r="J783" s="515"/>
      <c r="K783" s="516"/>
      <c r="L783" s="517"/>
      <c r="M783" s="517"/>
      <c r="N783" s="517"/>
      <c r="O783" s="518"/>
      <c r="P783" s="518"/>
    </row>
    <row r="784" spans="1:16" ht="21.75" customHeight="1" x14ac:dyDescent="0.3">
      <c r="A784" s="513"/>
      <c r="B784" s="513"/>
      <c r="C784" s="513"/>
      <c r="D784" s="513"/>
      <c r="E784" s="515"/>
      <c r="F784" s="515"/>
      <c r="G784" s="515"/>
      <c r="H784" s="515"/>
      <c r="I784" s="515"/>
      <c r="J784" s="515"/>
      <c r="K784" s="516"/>
      <c r="L784" s="517"/>
      <c r="M784" s="517"/>
      <c r="N784" s="517"/>
      <c r="O784" s="518"/>
      <c r="P784" s="518"/>
    </row>
    <row r="785" spans="1:16" ht="21.75" customHeight="1" x14ac:dyDescent="0.3">
      <c r="A785" s="513"/>
      <c r="B785" s="513"/>
      <c r="C785" s="513"/>
      <c r="D785" s="513"/>
      <c r="E785" s="515"/>
      <c r="F785" s="515"/>
      <c r="G785" s="515"/>
      <c r="H785" s="515"/>
      <c r="I785" s="515"/>
      <c r="J785" s="515"/>
      <c r="K785" s="516"/>
      <c r="L785" s="517"/>
      <c r="M785" s="517"/>
      <c r="N785" s="517"/>
      <c r="O785" s="518"/>
      <c r="P785" s="518"/>
    </row>
    <row r="786" spans="1:16" ht="21.75" customHeight="1" x14ac:dyDescent="0.3">
      <c r="A786" s="513"/>
      <c r="B786" s="513"/>
      <c r="C786" s="513"/>
      <c r="D786" s="513"/>
      <c r="E786" s="515"/>
      <c r="F786" s="515"/>
      <c r="G786" s="515"/>
      <c r="H786" s="515"/>
      <c r="I786" s="515"/>
      <c r="J786" s="515"/>
      <c r="K786" s="516"/>
      <c r="L786" s="517"/>
      <c r="M786" s="517"/>
      <c r="N786" s="517"/>
      <c r="O786" s="518"/>
      <c r="P786" s="518"/>
    </row>
    <row r="787" spans="1:16" ht="21.75" customHeight="1" x14ac:dyDescent="0.3">
      <c r="A787" s="513"/>
      <c r="B787" s="513"/>
      <c r="C787" s="513"/>
      <c r="D787" s="513"/>
      <c r="E787" s="515"/>
      <c r="F787" s="515"/>
      <c r="G787" s="515"/>
      <c r="H787" s="515"/>
      <c r="I787" s="515"/>
      <c r="J787" s="515"/>
      <c r="K787" s="516"/>
      <c r="L787" s="517"/>
      <c r="M787" s="517"/>
      <c r="N787" s="517"/>
      <c r="O787" s="518"/>
      <c r="P787" s="518"/>
    </row>
    <row r="788" spans="1:16" ht="21.75" customHeight="1" x14ac:dyDescent="0.3">
      <c r="A788" s="513"/>
      <c r="B788" s="513"/>
      <c r="C788" s="513"/>
      <c r="D788" s="513"/>
      <c r="E788" s="515"/>
      <c r="F788" s="515"/>
      <c r="G788" s="515"/>
      <c r="H788" s="515"/>
      <c r="I788" s="515"/>
      <c r="J788" s="515"/>
      <c r="K788" s="516"/>
      <c r="L788" s="517"/>
      <c r="M788" s="517"/>
      <c r="N788" s="517"/>
      <c r="O788" s="518"/>
      <c r="P788" s="518"/>
    </row>
    <row r="789" spans="1:16" ht="21.75" customHeight="1" x14ac:dyDescent="0.3">
      <c r="A789" s="513"/>
      <c r="B789" s="513"/>
      <c r="C789" s="513"/>
      <c r="D789" s="513"/>
      <c r="E789" s="515"/>
      <c r="F789" s="515"/>
      <c r="G789" s="515"/>
      <c r="H789" s="515"/>
      <c r="I789" s="515"/>
      <c r="J789" s="515"/>
      <c r="K789" s="516"/>
      <c r="L789" s="517"/>
      <c r="M789" s="517"/>
      <c r="N789" s="517"/>
      <c r="O789" s="518"/>
      <c r="P789" s="518"/>
    </row>
    <row r="790" spans="1:16" ht="21.75" customHeight="1" x14ac:dyDescent="0.3">
      <c r="A790" s="513"/>
      <c r="B790" s="513"/>
      <c r="C790" s="513"/>
      <c r="D790" s="513"/>
      <c r="E790" s="515"/>
      <c r="F790" s="515"/>
      <c r="G790" s="515"/>
      <c r="H790" s="515"/>
      <c r="I790" s="515"/>
      <c r="J790" s="515"/>
      <c r="K790" s="516"/>
      <c r="L790" s="517"/>
      <c r="M790" s="517"/>
      <c r="N790" s="517"/>
      <c r="O790" s="518"/>
      <c r="P790" s="518"/>
    </row>
    <row r="791" spans="1:16" ht="21.75" customHeight="1" x14ac:dyDescent="0.3">
      <c r="A791" s="513"/>
      <c r="B791" s="513"/>
      <c r="C791" s="513"/>
      <c r="D791" s="513"/>
      <c r="E791" s="515"/>
      <c r="F791" s="515"/>
      <c r="G791" s="515"/>
      <c r="H791" s="515"/>
      <c r="I791" s="515"/>
      <c r="J791" s="515"/>
      <c r="K791" s="516"/>
      <c r="L791" s="517"/>
      <c r="M791" s="517"/>
      <c r="N791" s="517"/>
      <c r="O791" s="518"/>
      <c r="P791" s="518"/>
    </row>
    <row r="792" spans="1:16" ht="21.75" customHeight="1" x14ac:dyDescent="0.3">
      <c r="A792" s="513"/>
      <c r="B792" s="513"/>
      <c r="C792" s="513"/>
      <c r="D792" s="513"/>
      <c r="E792" s="515"/>
      <c r="F792" s="515"/>
      <c r="G792" s="515"/>
      <c r="H792" s="515"/>
      <c r="I792" s="515"/>
      <c r="J792" s="515"/>
      <c r="K792" s="516"/>
      <c r="L792" s="517"/>
      <c r="M792" s="517"/>
      <c r="N792" s="517"/>
      <c r="O792" s="518"/>
      <c r="P792" s="518"/>
    </row>
    <row r="793" spans="1:16" ht="21.75" customHeight="1" x14ac:dyDescent="0.3">
      <c r="A793" s="513"/>
      <c r="B793" s="513"/>
      <c r="C793" s="513"/>
      <c r="D793" s="513"/>
      <c r="E793" s="515"/>
      <c r="F793" s="515"/>
      <c r="G793" s="515"/>
      <c r="H793" s="515"/>
      <c r="I793" s="515"/>
      <c r="J793" s="515"/>
      <c r="K793" s="516"/>
      <c r="L793" s="517"/>
      <c r="M793" s="517"/>
      <c r="N793" s="517"/>
      <c r="O793" s="518"/>
      <c r="P793" s="518"/>
    </row>
    <row r="794" spans="1:16" ht="21.75" customHeight="1" x14ac:dyDescent="0.3">
      <c r="A794" s="513"/>
      <c r="B794" s="513"/>
      <c r="C794" s="513"/>
      <c r="D794" s="513"/>
      <c r="E794" s="515"/>
      <c r="F794" s="515"/>
      <c r="G794" s="515"/>
      <c r="H794" s="515"/>
      <c r="I794" s="515"/>
      <c r="J794" s="515"/>
      <c r="K794" s="516"/>
      <c r="L794" s="517"/>
      <c r="M794" s="517"/>
      <c r="N794" s="517"/>
      <c r="O794" s="518"/>
      <c r="P794" s="518"/>
    </row>
    <row r="795" spans="1:16" ht="21.75" customHeight="1" x14ac:dyDescent="0.3">
      <c r="A795" s="513"/>
      <c r="B795" s="513"/>
      <c r="C795" s="513"/>
      <c r="D795" s="513"/>
      <c r="E795" s="515"/>
      <c r="F795" s="515"/>
      <c r="G795" s="515"/>
      <c r="H795" s="515"/>
      <c r="I795" s="515"/>
      <c r="J795" s="515"/>
      <c r="K795" s="516"/>
      <c r="L795" s="517"/>
      <c r="M795" s="517"/>
      <c r="N795" s="517"/>
      <c r="O795" s="518"/>
      <c r="P795" s="518"/>
    </row>
    <row r="796" spans="1:16" ht="21.75" customHeight="1" x14ac:dyDescent="0.3">
      <c r="A796" s="513"/>
      <c r="B796" s="513"/>
      <c r="C796" s="513"/>
      <c r="D796" s="513"/>
      <c r="E796" s="515"/>
      <c r="F796" s="515"/>
      <c r="G796" s="515"/>
      <c r="H796" s="515"/>
      <c r="I796" s="515"/>
      <c r="J796" s="515"/>
      <c r="K796" s="516"/>
      <c r="L796" s="517"/>
      <c r="M796" s="517"/>
      <c r="N796" s="517"/>
      <c r="O796" s="518"/>
      <c r="P796" s="518"/>
    </row>
    <row r="797" spans="1:16" ht="21.75" customHeight="1" x14ac:dyDescent="0.3">
      <c r="A797" s="513"/>
      <c r="B797" s="513"/>
      <c r="C797" s="513"/>
      <c r="D797" s="513"/>
      <c r="E797" s="515"/>
      <c r="F797" s="515"/>
      <c r="G797" s="515"/>
      <c r="H797" s="515"/>
      <c r="I797" s="515"/>
      <c r="J797" s="515"/>
      <c r="K797" s="516"/>
      <c r="L797" s="517"/>
      <c r="M797" s="517"/>
      <c r="N797" s="517"/>
      <c r="O797" s="518"/>
      <c r="P797" s="518"/>
    </row>
    <row r="798" spans="1:16" ht="21.75" customHeight="1" x14ac:dyDescent="0.3">
      <c r="A798" s="513"/>
      <c r="B798" s="513"/>
      <c r="C798" s="513"/>
      <c r="D798" s="513"/>
      <c r="E798" s="515"/>
      <c r="F798" s="515"/>
      <c r="G798" s="515"/>
      <c r="H798" s="515"/>
      <c r="I798" s="515"/>
      <c r="J798" s="515"/>
      <c r="K798" s="516"/>
      <c r="L798" s="517"/>
      <c r="M798" s="517"/>
      <c r="N798" s="517"/>
      <c r="O798" s="518"/>
      <c r="P798" s="518"/>
    </row>
    <row r="799" spans="1:16" ht="21.75" customHeight="1" x14ac:dyDescent="0.3">
      <c r="A799" s="513"/>
      <c r="B799" s="513"/>
      <c r="C799" s="513"/>
      <c r="D799" s="513"/>
      <c r="E799" s="515"/>
      <c r="F799" s="515"/>
      <c r="G799" s="515"/>
      <c r="H799" s="515"/>
      <c r="I799" s="515"/>
      <c r="J799" s="515"/>
      <c r="K799" s="516"/>
      <c r="L799" s="517"/>
      <c r="M799" s="517"/>
      <c r="N799" s="517"/>
      <c r="O799" s="518"/>
      <c r="P799" s="518"/>
    </row>
    <row r="800" spans="1:16" ht="21.75" customHeight="1" x14ac:dyDescent="0.3">
      <c r="A800" s="513"/>
      <c r="B800" s="513"/>
      <c r="C800" s="513"/>
      <c r="D800" s="513"/>
      <c r="E800" s="515"/>
      <c r="F800" s="515"/>
      <c r="G800" s="515"/>
      <c r="H800" s="515"/>
      <c r="I800" s="515"/>
      <c r="J800" s="515"/>
      <c r="K800" s="516"/>
      <c r="L800" s="517"/>
      <c r="M800" s="517"/>
      <c r="N800" s="517"/>
      <c r="O800" s="518"/>
      <c r="P800" s="518"/>
    </row>
    <row r="801" spans="1:16" ht="21.75" customHeight="1" x14ac:dyDescent="0.3">
      <c r="A801" s="513"/>
      <c r="B801" s="513"/>
      <c r="C801" s="513"/>
      <c r="D801" s="513"/>
      <c r="E801" s="515"/>
      <c r="F801" s="515"/>
      <c r="G801" s="515"/>
      <c r="H801" s="515"/>
      <c r="I801" s="515"/>
      <c r="J801" s="515"/>
      <c r="K801" s="516"/>
      <c r="L801" s="517"/>
      <c r="M801" s="517"/>
      <c r="N801" s="517"/>
      <c r="O801" s="518"/>
      <c r="P801" s="518"/>
    </row>
    <row r="802" spans="1:16" ht="21.75" customHeight="1" x14ac:dyDescent="0.3">
      <c r="A802" s="513"/>
      <c r="B802" s="513"/>
      <c r="C802" s="513"/>
      <c r="D802" s="513"/>
      <c r="E802" s="515"/>
      <c r="F802" s="515"/>
      <c r="G802" s="515"/>
      <c r="H802" s="515"/>
      <c r="I802" s="515"/>
      <c r="J802" s="515"/>
      <c r="K802" s="516"/>
      <c r="L802" s="517"/>
      <c r="M802" s="517"/>
      <c r="N802" s="517"/>
      <c r="O802" s="518"/>
      <c r="P802" s="518"/>
    </row>
    <row r="803" spans="1:16" ht="21.75" customHeight="1" x14ac:dyDescent="0.3">
      <c r="A803" s="513"/>
      <c r="B803" s="513"/>
      <c r="C803" s="513"/>
      <c r="D803" s="513"/>
      <c r="E803" s="515"/>
      <c r="F803" s="515"/>
      <c r="G803" s="515"/>
      <c r="H803" s="515"/>
      <c r="I803" s="515"/>
      <c r="J803" s="515"/>
      <c r="K803" s="516"/>
      <c r="L803" s="517"/>
      <c r="M803" s="517"/>
      <c r="N803" s="517"/>
      <c r="O803" s="518"/>
      <c r="P803" s="518"/>
    </row>
    <row r="804" spans="1:16" ht="21.75" customHeight="1" x14ac:dyDescent="0.3">
      <c r="A804" s="513"/>
      <c r="B804" s="513"/>
      <c r="C804" s="513"/>
      <c r="D804" s="513"/>
      <c r="E804" s="515"/>
      <c r="F804" s="515"/>
      <c r="G804" s="515"/>
      <c r="H804" s="515"/>
      <c r="I804" s="515"/>
      <c r="J804" s="515"/>
      <c r="K804" s="516"/>
      <c r="L804" s="517"/>
      <c r="M804" s="517"/>
      <c r="N804" s="517"/>
      <c r="O804" s="518"/>
      <c r="P804" s="518"/>
    </row>
    <row r="805" spans="1:16" ht="21.75" customHeight="1" x14ac:dyDescent="0.3">
      <c r="A805" s="513"/>
      <c r="B805" s="513"/>
      <c r="C805" s="513"/>
      <c r="D805" s="513"/>
      <c r="E805" s="515"/>
      <c r="F805" s="515"/>
      <c r="G805" s="515"/>
      <c r="H805" s="515"/>
      <c r="I805" s="515"/>
      <c r="J805" s="515"/>
      <c r="K805" s="516"/>
      <c r="L805" s="517"/>
      <c r="M805" s="517"/>
      <c r="N805" s="517"/>
      <c r="O805" s="518"/>
      <c r="P805" s="518"/>
    </row>
    <row r="806" spans="1:16" ht="21.75" customHeight="1" x14ac:dyDescent="0.3">
      <c r="A806" s="513"/>
      <c r="B806" s="513"/>
      <c r="C806" s="513"/>
      <c r="D806" s="513"/>
      <c r="E806" s="515"/>
      <c r="F806" s="515"/>
      <c r="G806" s="515"/>
      <c r="H806" s="515"/>
      <c r="I806" s="515"/>
      <c r="J806" s="515"/>
      <c r="K806" s="516"/>
      <c r="L806" s="517"/>
      <c r="M806" s="517"/>
      <c r="N806" s="517"/>
      <c r="O806" s="518"/>
      <c r="P806" s="518"/>
    </row>
    <row r="807" spans="1:16" ht="21.75" customHeight="1" x14ac:dyDescent="0.3">
      <c r="A807" s="513"/>
      <c r="B807" s="513"/>
      <c r="C807" s="513"/>
      <c r="D807" s="513"/>
      <c r="E807" s="515"/>
      <c r="F807" s="515"/>
      <c r="G807" s="515"/>
      <c r="H807" s="515"/>
      <c r="I807" s="515"/>
      <c r="J807" s="515"/>
      <c r="K807" s="516"/>
      <c r="L807" s="517"/>
      <c r="M807" s="517"/>
      <c r="N807" s="517"/>
      <c r="O807" s="518"/>
      <c r="P807" s="518"/>
    </row>
    <row r="808" spans="1:16" ht="21.75" customHeight="1" x14ac:dyDescent="0.3">
      <c r="A808" s="513"/>
      <c r="B808" s="513"/>
      <c r="C808" s="513"/>
      <c r="D808" s="513"/>
      <c r="E808" s="515"/>
      <c r="F808" s="515"/>
      <c r="G808" s="515"/>
      <c r="H808" s="515"/>
      <c r="I808" s="515"/>
      <c r="J808" s="515"/>
      <c r="K808" s="516"/>
      <c r="L808" s="517"/>
      <c r="M808" s="517"/>
      <c r="N808" s="517"/>
      <c r="O808" s="518"/>
      <c r="P808" s="518"/>
    </row>
    <row r="809" spans="1:16" ht="21.75" customHeight="1" x14ac:dyDescent="0.3">
      <c r="A809" s="513"/>
      <c r="B809" s="513"/>
      <c r="C809" s="513"/>
      <c r="D809" s="513"/>
      <c r="E809" s="515"/>
      <c r="F809" s="515"/>
      <c r="G809" s="515"/>
      <c r="H809" s="515"/>
      <c r="I809" s="515"/>
      <c r="J809" s="515"/>
      <c r="K809" s="516"/>
      <c r="L809" s="517"/>
      <c r="M809" s="517"/>
      <c r="N809" s="517"/>
      <c r="O809" s="518"/>
      <c r="P809" s="518"/>
    </row>
    <row r="810" spans="1:16" ht="21.75" customHeight="1" x14ac:dyDescent="0.3">
      <c r="A810" s="513"/>
      <c r="B810" s="513"/>
      <c r="C810" s="513"/>
      <c r="D810" s="513"/>
      <c r="E810" s="515"/>
      <c r="F810" s="515"/>
      <c r="G810" s="515"/>
      <c r="H810" s="515"/>
      <c r="I810" s="515"/>
      <c r="J810" s="515"/>
      <c r="K810" s="516"/>
      <c r="L810" s="517"/>
      <c r="M810" s="517"/>
      <c r="N810" s="517"/>
      <c r="O810" s="518"/>
      <c r="P810" s="518"/>
    </row>
    <row r="811" spans="1:16" ht="21.75" customHeight="1" x14ac:dyDescent="0.3">
      <c r="A811" s="513"/>
      <c r="B811" s="513"/>
      <c r="C811" s="513"/>
      <c r="D811" s="513"/>
      <c r="E811" s="515"/>
      <c r="F811" s="515"/>
      <c r="G811" s="515"/>
      <c r="H811" s="515"/>
      <c r="I811" s="515"/>
      <c r="J811" s="515"/>
      <c r="K811" s="516"/>
      <c r="L811" s="517"/>
      <c r="M811" s="517"/>
      <c r="N811" s="517"/>
      <c r="O811" s="518"/>
      <c r="P811" s="518"/>
    </row>
    <row r="812" spans="1:16" ht="21.75" customHeight="1" x14ac:dyDescent="0.3">
      <c r="A812" s="513"/>
      <c r="B812" s="513"/>
      <c r="C812" s="513"/>
      <c r="D812" s="513"/>
      <c r="E812" s="515"/>
      <c r="F812" s="515"/>
      <c r="G812" s="515"/>
      <c r="H812" s="515"/>
      <c r="I812" s="515"/>
      <c r="J812" s="515"/>
      <c r="K812" s="516"/>
      <c r="L812" s="517"/>
      <c r="M812" s="517"/>
      <c r="N812" s="517"/>
      <c r="O812" s="518"/>
      <c r="P812" s="518"/>
    </row>
    <row r="813" spans="1:16" ht="21.75" customHeight="1" x14ac:dyDescent="0.3">
      <c r="A813" s="513"/>
      <c r="B813" s="513"/>
      <c r="C813" s="513"/>
      <c r="D813" s="513"/>
      <c r="E813" s="515"/>
      <c r="F813" s="515"/>
      <c r="G813" s="515"/>
      <c r="H813" s="515"/>
      <c r="I813" s="515"/>
      <c r="J813" s="515"/>
      <c r="K813" s="516"/>
      <c r="L813" s="517"/>
      <c r="M813" s="517"/>
      <c r="N813" s="517"/>
      <c r="O813" s="518"/>
      <c r="P813" s="518"/>
    </row>
    <row r="814" spans="1:16" ht="21.75" customHeight="1" x14ac:dyDescent="0.3">
      <c r="A814" s="513"/>
      <c r="B814" s="513"/>
      <c r="C814" s="513"/>
      <c r="D814" s="513"/>
      <c r="E814" s="515"/>
      <c r="F814" s="515"/>
      <c r="G814" s="515"/>
      <c r="H814" s="515"/>
      <c r="I814" s="515"/>
      <c r="J814" s="515"/>
      <c r="K814" s="516"/>
      <c r="L814" s="517"/>
      <c r="M814" s="517"/>
      <c r="N814" s="517"/>
      <c r="O814" s="518"/>
      <c r="P814" s="518"/>
    </row>
    <row r="815" spans="1:16" ht="21.75" customHeight="1" x14ac:dyDescent="0.3">
      <c r="A815" s="513"/>
      <c r="B815" s="513"/>
      <c r="C815" s="513"/>
      <c r="D815" s="513"/>
      <c r="E815" s="515"/>
      <c r="F815" s="515"/>
      <c r="G815" s="515"/>
      <c r="H815" s="515"/>
      <c r="I815" s="515"/>
      <c r="J815" s="515"/>
      <c r="K815" s="516"/>
      <c r="L815" s="517"/>
      <c r="M815" s="517"/>
      <c r="N815" s="517"/>
      <c r="O815" s="518"/>
      <c r="P815" s="518"/>
    </row>
    <row r="816" spans="1:16" ht="21.75" customHeight="1" x14ac:dyDescent="0.3">
      <c r="A816" s="513"/>
      <c r="B816" s="513"/>
      <c r="C816" s="513"/>
      <c r="D816" s="513"/>
      <c r="E816" s="515"/>
      <c r="F816" s="515"/>
      <c r="G816" s="515"/>
      <c r="H816" s="515"/>
      <c r="I816" s="515"/>
      <c r="J816" s="515"/>
      <c r="K816" s="516"/>
      <c r="L816" s="517"/>
      <c r="M816" s="517"/>
      <c r="N816" s="517"/>
      <c r="O816" s="518"/>
      <c r="P816" s="518"/>
    </row>
    <row r="817" spans="1:16" ht="21.75" customHeight="1" x14ac:dyDescent="0.3">
      <c r="A817" s="513"/>
      <c r="B817" s="513"/>
      <c r="C817" s="513"/>
      <c r="D817" s="513"/>
      <c r="E817" s="515"/>
      <c r="F817" s="515"/>
      <c r="G817" s="515"/>
      <c r="H817" s="515"/>
      <c r="I817" s="515"/>
      <c r="J817" s="515"/>
      <c r="K817" s="516"/>
      <c r="L817" s="517"/>
      <c r="M817" s="517"/>
      <c r="N817" s="517"/>
      <c r="O817" s="518"/>
      <c r="P817" s="518"/>
    </row>
    <row r="818" spans="1:16" ht="21.75" customHeight="1" x14ac:dyDescent="0.3">
      <c r="A818" s="513"/>
      <c r="B818" s="513"/>
      <c r="C818" s="513"/>
      <c r="D818" s="513"/>
      <c r="E818" s="515"/>
      <c r="F818" s="515"/>
      <c r="G818" s="515"/>
      <c r="H818" s="515"/>
      <c r="I818" s="515"/>
      <c r="J818" s="515"/>
      <c r="K818" s="516"/>
      <c r="L818" s="517"/>
      <c r="M818" s="517"/>
      <c r="N818" s="517"/>
      <c r="O818" s="518"/>
      <c r="P818" s="518"/>
    </row>
    <row r="819" spans="1:16" ht="21.75" customHeight="1" x14ac:dyDescent="0.3">
      <c r="A819" s="513"/>
      <c r="B819" s="513"/>
      <c r="C819" s="513"/>
      <c r="D819" s="513"/>
      <c r="E819" s="515"/>
      <c r="F819" s="515"/>
      <c r="G819" s="515"/>
      <c r="H819" s="515"/>
      <c r="I819" s="515"/>
      <c r="J819" s="515"/>
      <c r="K819" s="516"/>
      <c r="L819" s="517"/>
      <c r="M819" s="517"/>
      <c r="N819" s="517"/>
      <c r="O819" s="518"/>
      <c r="P819" s="518"/>
    </row>
    <row r="820" spans="1:16" ht="21.75" customHeight="1" x14ac:dyDescent="0.3">
      <c r="A820" s="513"/>
      <c r="B820" s="513"/>
      <c r="C820" s="513"/>
      <c r="D820" s="513"/>
      <c r="E820" s="515"/>
      <c r="F820" s="515"/>
      <c r="G820" s="515"/>
      <c r="H820" s="515"/>
      <c r="I820" s="515"/>
      <c r="J820" s="515"/>
      <c r="K820" s="516"/>
      <c r="L820" s="517"/>
      <c r="M820" s="517"/>
      <c r="N820" s="517"/>
      <c r="O820" s="518"/>
      <c r="P820" s="518"/>
    </row>
    <row r="821" spans="1:16" ht="21.75" customHeight="1" x14ac:dyDescent="0.3">
      <c r="A821" s="513"/>
      <c r="B821" s="513"/>
      <c r="C821" s="513"/>
      <c r="D821" s="513"/>
      <c r="E821" s="515"/>
      <c r="F821" s="515"/>
      <c r="G821" s="515"/>
      <c r="H821" s="515"/>
      <c r="I821" s="515"/>
      <c r="J821" s="515"/>
      <c r="K821" s="516"/>
      <c r="L821" s="517"/>
      <c r="M821" s="517"/>
      <c r="N821" s="517"/>
      <c r="O821" s="518"/>
      <c r="P821" s="518"/>
    </row>
    <row r="822" spans="1:16" ht="21.75" customHeight="1" x14ac:dyDescent="0.3">
      <c r="A822" s="513"/>
      <c r="B822" s="513"/>
      <c r="C822" s="513"/>
      <c r="D822" s="513"/>
      <c r="E822" s="515"/>
      <c r="F822" s="515"/>
      <c r="G822" s="515"/>
      <c r="H822" s="515"/>
      <c r="I822" s="515"/>
      <c r="J822" s="515"/>
      <c r="K822" s="516"/>
      <c r="L822" s="517"/>
      <c r="M822" s="517"/>
      <c r="N822" s="517"/>
      <c r="O822" s="518"/>
      <c r="P822" s="518"/>
    </row>
    <row r="823" spans="1:16" ht="21.75" customHeight="1" x14ac:dyDescent="0.3">
      <c r="A823" s="513"/>
      <c r="B823" s="513"/>
      <c r="C823" s="513"/>
      <c r="D823" s="513"/>
      <c r="E823" s="515"/>
      <c r="F823" s="515"/>
      <c r="G823" s="515"/>
      <c r="H823" s="515"/>
      <c r="I823" s="515"/>
      <c r="J823" s="515"/>
      <c r="K823" s="516"/>
      <c r="L823" s="517"/>
      <c r="M823" s="517"/>
      <c r="N823" s="517"/>
      <c r="O823" s="518"/>
      <c r="P823" s="518"/>
    </row>
    <row r="824" spans="1:16" ht="21.75" customHeight="1" x14ac:dyDescent="0.3">
      <c r="A824" s="513"/>
      <c r="B824" s="513"/>
      <c r="C824" s="513"/>
      <c r="D824" s="513"/>
      <c r="E824" s="515"/>
      <c r="F824" s="515"/>
      <c r="G824" s="515"/>
      <c r="H824" s="515"/>
      <c r="I824" s="515"/>
      <c r="J824" s="515"/>
      <c r="K824" s="516"/>
      <c r="L824" s="517"/>
      <c r="M824" s="517"/>
      <c r="N824" s="517"/>
      <c r="O824" s="518"/>
      <c r="P824" s="518"/>
    </row>
    <row r="825" spans="1:16" ht="21.75" customHeight="1" x14ac:dyDescent="0.3">
      <c r="A825" s="513"/>
      <c r="B825" s="513"/>
      <c r="C825" s="513"/>
      <c r="D825" s="513"/>
      <c r="E825" s="515"/>
      <c r="F825" s="515"/>
      <c r="G825" s="515"/>
      <c r="H825" s="515"/>
      <c r="I825" s="515"/>
      <c r="J825" s="515"/>
      <c r="K825" s="516"/>
      <c r="L825" s="517"/>
      <c r="M825" s="517"/>
      <c r="N825" s="517"/>
      <c r="O825" s="518"/>
      <c r="P825" s="518"/>
    </row>
    <row r="826" spans="1:16" ht="21.75" customHeight="1" x14ac:dyDescent="0.3">
      <c r="A826" s="513"/>
      <c r="B826" s="513"/>
      <c r="C826" s="513"/>
      <c r="D826" s="513"/>
      <c r="E826" s="515"/>
      <c r="F826" s="515"/>
      <c r="G826" s="515"/>
      <c r="H826" s="515"/>
      <c r="I826" s="515"/>
      <c r="J826" s="515"/>
      <c r="K826" s="516"/>
      <c r="L826" s="517"/>
      <c r="M826" s="517"/>
      <c r="N826" s="517"/>
      <c r="O826" s="518"/>
      <c r="P826" s="518"/>
    </row>
    <row r="827" spans="1:16" ht="21.75" customHeight="1" x14ac:dyDescent="0.3">
      <c r="A827" s="513"/>
      <c r="B827" s="513"/>
      <c r="C827" s="513"/>
      <c r="D827" s="513"/>
      <c r="E827" s="515"/>
      <c r="F827" s="515"/>
      <c r="G827" s="515"/>
      <c r="H827" s="515"/>
      <c r="I827" s="515"/>
      <c r="J827" s="515"/>
      <c r="K827" s="516"/>
      <c r="L827" s="517"/>
      <c r="M827" s="517"/>
      <c r="N827" s="517"/>
      <c r="O827" s="518"/>
      <c r="P827" s="518"/>
    </row>
    <row r="828" spans="1:16" ht="21.75" customHeight="1" x14ac:dyDescent="0.3">
      <c r="A828" s="513"/>
      <c r="B828" s="513"/>
      <c r="C828" s="513"/>
      <c r="D828" s="513"/>
      <c r="E828" s="515"/>
      <c r="F828" s="515"/>
      <c r="G828" s="515"/>
      <c r="H828" s="515"/>
      <c r="I828" s="515"/>
      <c r="J828" s="515"/>
      <c r="K828" s="516"/>
      <c r="L828" s="517"/>
      <c r="M828" s="517"/>
      <c r="N828" s="517"/>
      <c r="O828" s="518"/>
      <c r="P828" s="518"/>
    </row>
    <row r="829" spans="1:16" ht="21.75" customHeight="1" x14ac:dyDescent="0.3">
      <c r="A829" s="513"/>
      <c r="B829" s="513"/>
      <c r="C829" s="513"/>
      <c r="D829" s="513"/>
      <c r="E829" s="515"/>
      <c r="F829" s="515"/>
      <c r="G829" s="515"/>
      <c r="H829" s="515"/>
      <c r="I829" s="515"/>
      <c r="J829" s="515"/>
      <c r="K829" s="516"/>
      <c r="L829" s="517"/>
      <c r="M829" s="517"/>
      <c r="N829" s="517"/>
      <c r="O829" s="518"/>
      <c r="P829" s="518"/>
    </row>
    <row r="830" spans="1:16" ht="21.75" customHeight="1" x14ac:dyDescent="0.3">
      <c r="A830" s="513"/>
      <c r="B830" s="513"/>
      <c r="C830" s="513"/>
      <c r="D830" s="513"/>
      <c r="E830" s="515"/>
      <c r="F830" s="515"/>
      <c r="G830" s="515"/>
      <c r="H830" s="515"/>
      <c r="I830" s="515"/>
      <c r="J830" s="515"/>
      <c r="K830" s="516"/>
      <c r="L830" s="517"/>
      <c r="M830" s="517"/>
      <c r="N830" s="517"/>
      <c r="O830" s="518"/>
      <c r="P830" s="518"/>
    </row>
    <row r="831" spans="1:16" ht="21.75" customHeight="1" x14ac:dyDescent="0.3">
      <c r="A831" s="513"/>
      <c r="B831" s="513"/>
      <c r="C831" s="513"/>
      <c r="D831" s="513"/>
      <c r="E831" s="515"/>
      <c r="F831" s="515"/>
      <c r="G831" s="515"/>
      <c r="H831" s="515"/>
      <c r="I831" s="515"/>
      <c r="J831" s="515"/>
      <c r="K831" s="516"/>
      <c r="L831" s="517"/>
      <c r="M831" s="517"/>
      <c r="N831" s="517"/>
      <c r="O831" s="518"/>
      <c r="P831" s="518"/>
    </row>
    <row r="832" spans="1:16" ht="21.75" customHeight="1" x14ac:dyDescent="0.3">
      <c r="A832" s="513"/>
      <c r="B832" s="513"/>
      <c r="C832" s="513"/>
      <c r="D832" s="513"/>
      <c r="E832" s="515"/>
      <c r="F832" s="515"/>
      <c r="G832" s="515"/>
      <c r="H832" s="515"/>
      <c r="I832" s="515"/>
      <c r="J832" s="515"/>
      <c r="K832" s="516"/>
      <c r="L832" s="517"/>
      <c r="M832" s="517"/>
      <c r="N832" s="517"/>
      <c r="O832" s="518"/>
      <c r="P832" s="518"/>
    </row>
    <row r="833" spans="1:16" ht="21.75" customHeight="1" x14ac:dyDescent="0.3">
      <c r="A833" s="513"/>
      <c r="B833" s="513"/>
      <c r="C833" s="513"/>
      <c r="D833" s="513"/>
      <c r="E833" s="515"/>
      <c r="F833" s="515"/>
      <c r="G833" s="515"/>
      <c r="H833" s="515"/>
      <c r="I833" s="515"/>
      <c r="J833" s="515"/>
      <c r="K833" s="516"/>
      <c r="L833" s="517"/>
      <c r="M833" s="517"/>
      <c r="N833" s="517"/>
      <c r="O833" s="518"/>
      <c r="P833" s="518"/>
    </row>
    <row r="834" spans="1:16" ht="21.75" customHeight="1" x14ac:dyDescent="0.3">
      <c r="A834" s="513"/>
      <c r="B834" s="513"/>
      <c r="C834" s="513"/>
      <c r="D834" s="513"/>
      <c r="E834" s="515"/>
      <c r="F834" s="515"/>
      <c r="G834" s="515"/>
      <c r="H834" s="515"/>
      <c r="I834" s="515"/>
      <c r="J834" s="515"/>
      <c r="K834" s="516"/>
      <c r="L834" s="517"/>
      <c r="M834" s="517"/>
      <c r="N834" s="517"/>
      <c r="O834" s="518"/>
      <c r="P834" s="518"/>
    </row>
    <row r="835" spans="1:16" ht="21.75" customHeight="1" x14ac:dyDescent="0.3">
      <c r="A835" s="513"/>
      <c r="B835" s="513"/>
      <c r="C835" s="513"/>
      <c r="D835" s="513"/>
      <c r="E835" s="515"/>
      <c r="F835" s="515"/>
      <c r="G835" s="515"/>
      <c r="H835" s="515"/>
      <c r="I835" s="515"/>
      <c r="J835" s="515"/>
      <c r="K835" s="516"/>
      <c r="L835" s="517"/>
      <c r="M835" s="517"/>
      <c r="N835" s="517"/>
      <c r="O835" s="518"/>
      <c r="P835" s="518"/>
    </row>
    <row r="836" spans="1:16" ht="21.75" customHeight="1" x14ac:dyDescent="0.3">
      <c r="A836" s="513"/>
      <c r="B836" s="513"/>
      <c r="C836" s="513"/>
      <c r="D836" s="513"/>
      <c r="E836" s="515"/>
      <c r="F836" s="515"/>
      <c r="G836" s="515"/>
      <c r="H836" s="515"/>
      <c r="I836" s="515"/>
      <c r="J836" s="515"/>
      <c r="K836" s="516"/>
      <c r="L836" s="517"/>
      <c r="M836" s="517"/>
      <c r="N836" s="517"/>
      <c r="O836" s="518"/>
      <c r="P836" s="518"/>
    </row>
    <row r="837" spans="1:16" ht="21.75" customHeight="1" x14ac:dyDescent="0.3">
      <c r="A837" s="513"/>
      <c r="B837" s="513"/>
      <c r="C837" s="513"/>
      <c r="D837" s="513"/>
      <c r="E837" s="515"/>
      <c r="F837" s="515"/>
      <c r="G837" s="515"/>
      <c r="H837" s="515"/>
      <c r="I837" s="515"/>
      <c r="J837" s="515"/>
      <c r="K837" s="516"/>
      <c r="L837" s="517"/>
      <c r="M837" s="517"/>
      <c r="N837" s="517"/>
      <c r="O837" s="518"/>
      <c r="P837" s="518"/>
    </row>
    <row r="838" spans="1:16" ht="21.75" customHeight="1" x14ac:dyDescent="0.3">
      <c r="A838" s="513"/>
      <c r="B838" s="513"/>
      <c r="C838" s="513"/>
      <c r="D838" s="513"/>
      <c r="E838" s="515"/>
      <c r="F838" s="515"/>
      <c r="G838" s="515"/>
      <c r="H838" s="515"/>
      <c r="I838" s="515"/>
      <c r="J838" s="515"/>
      <c r="K838" s="516"/>
      <c r="L838" s="517"/>
      <c r="M838" s="517"/>
      <c r="N838" s="517"/>
      <c r="O838" s="518"/>
      <c r="P838" s="518"/>
    </row>
    <row r="839" spans="1:16" ht="21.75" customHeight="1" x14ac:dyDescent="0.3">
      <c r="A839" s="513"/>
      <c r="B839" s="513"/>
      <c r="C839" s="513"/>
      <c r="D839" s="513"/>
      <c r="E839" s="515"/>
      <c r="F839" s="515"/>
      <c r="G839" s="515"/>
      <c r="H839" s="515"/>
      <c r="I839" s="515"/>
      <c r="J839" s="515"/>
      <c r="K839" s="516"/>
      <c r="L839" s="517"/>
      <c r="M839" s="517"/>
      <c r="N839" s="517"/>
      <c r="O839" s="518"/>
      <c r="P839" s="518"/>
    </row>
    <row r="840" spans="1:16" ht="21.75" customHeight="1" x14ac:dyDescent="0.3">
      <c r="A840" s="513"/>
      <c r="B840" s="513"/>
      <c r="C840" s="513"/>
      <c r="D840" s="513"/>
      <c r="E840" s="515"/>
      <c r="F840" s="515"/>
      <c r="G840" s="515"/>
      <c r="H840" s="515"/>
      <c r="I840" s="515"/>
      <c r="J840" s="515"/>
      <c r="K840" s="516"/>
      <c r="L840" s="517"/>
      <c r="M840" s="517"/>
      <c r="N840" s="517"/>
      <c r="O840" s="518"/>
      <c r="P840" s="518"/>
    </row>
    <row r="841" spans="1:16" ht="21.75" customHeight="1" x14ac:dyDescent="0.3">
      <c r="A841" s="513"/>
      <c r="B841" s="513"/>
      <c r="C841" s="513"/>
      <c r="D841" s="513"/>
      <c r="E841" s="515"/>
      <c r="F841" s="515"/>
      <c r="G841" s="515"/>
      <c r="H841" s="515"/>
      <c r="I841" s="515"/>
      <c r="J841" s="515"/>
      <c r="K841" s="516"/>
      <c r="L841" s="517"/>
      <c r="M841" s="517"/>
      <c r="N841" s="517"/>
      <c r="O841" s="518"/>
      <c r="P841" s="518"/>
    </row>
    <row r="842" spans="1:16" ht="21.75" customHeight="1" x14ac:dyDescent="0.3">
      <c r="A842" s="513"/>
      <c r="B842" s="513"/>
      <c r="C842" s="513"/>
      <c r="D842" s="513"/>
      <c r="E842" s="515"/>
      <c r="F842" s="515"/>
      <c r="G842" s="515"/>
      <c r="H842" s="515"/>
      <c r="I842" s="515"/>
      <c r="J842" s="515"/>
      <c r="K842" s="516"/>
      <c r="L842" s="517"/>
      <c r="M842" s="517"/>
      <c r="N842" s="517"/>
      <c r="O842" s="518"/>
      <c r="P842" s="518"/>
    </row>
    <row r="843" spans="1:16" ht="21.75" customHeight="1" x14ac:dyDescent="0.3">
      <c r="A843" s="513"/>
      <c r="B843" s="513"/>
      <c r="C843" s="513"/>
      <c r="D843" s="513"/>
      <c r="E843" s="515"/>
      <c r="F843" s="515"/>
      <c r="G843" s="515"/>
      <c r="H843" s="515"/>
      <c r="I843" s="515"/>
      <c r="J843" s="515"/>
      <c r="K843" s="516"/>
      <c r="L843" s="517"/>
      <c r="M843" s="517"/>
      <c r="N843" s="517"/>
      <c r="O843" s="518"/>
      <c r="P843" s="518"/>
    </row>
    <row r="844" spans="1:16" ht="21.75" customHeight="1" x14ac:dyDescent="0.3">
      <c r="A844" s="513"/>
      <c r="B844" s="513"/>
      <c r="C844" s="513"/>
      <c r="D844" s="513"/>
      <c r="E844" s="515"/>
      <c r="F844" s="515"/>
      <c r="G844" s="515"/>
      <c r="H844" s="515"/>
      <c r="I844" s="515"/>
      <c r="J844" s="515"/>
      <c r="K844" s="516"/>
      <c r="L844" s="517"/>
      <c r="M844" s="517"/>
      <c r="N844" s="517"/>
      <c r="O844" s="518"/>
      <c r="P844" s="518"/>
    </row>
    <row r="845" spans="1:16" ht="21.75" customHeight="1" x14ac:dyDescent="0.3">
      <c r="A845" s="513"/>
      <c r="B845" s="513"/>
      <c r="C845" s="513"/>
      <c r="D845" s="513"/>
      <c r="E845" s="515"/>
      <c r="F845" s="515"/>
      <c r="G845" s="515"/>
      <c r="H845" s="515"/>
      <c r="I845" s="515"/>
      <c r="J845" s="515"/>
      <c r="K845" s="516"/>
      <c r="L845" s="517"/>
      <c r="M845" s="517"/>
      <c r="N845" s="517"/>
      <c r="O845" s="518"/>
      <c r="P845" s="518"/>
    </row>
    <row r="846" spans="1:16" ht="21.75" customHeight="1" x14ac:dyDescent="0.3">
      <c r="A846" s="513"/>
      <c r="B846" s="513"/>
      <c r="C846" s="513"/>
      <c r="D846" s="513"/>
      <c r="E846" s="515"/>
      <c r="F846" s="515"/>
      <c r="G846" s="515"/>
      <c r="H846" s="515"/>
      <c r="I846" s="515"/>
      <c r="J846" s="515"/>
      <c r="K846" s="516"/>
      <c r="L846" s="517"/>
      <c r="M846" s="517"/>
      <c r="N846" s="517"/>
      <c r="O846" s="518"/>
      <c r="P846" s="518"/>
    </row>
    <row r="847" spans="1:16" ht="21.75" customHeight="1" x14ac:dyDescent="0.3">
      <c r="A847" s="513"/>
      <c r="B847" s="513"/>
      <c r="C847" s="513"/>
      <c r="D847" s="513"/>
      <c r="E847" s="515"/>
      <c r="F847" s="515"/>
      <c r="G847" s="515"/>
      <c r="H847" s="515"/>
      <c r="I847" s="515"/>
      <c r="J847" s="515"/>
      <c r="K847" s="516"/>
      <c r="L847" s="517"/>
      <c r="M847" s="517"/>
      <c r="N847" s="517"/>
      <c r="O847" s="518"/>
      <c r="P847" s="518"/>
    </row>
    <row r="848" spans="1:16" ht="21.75" customHeight="1" x14ac:dyDescent="0.3">
      <c r="A848" s="513"/>
      <c r="B848" s="513"/>
      <c r="C848" s="513"/>
      <c r="D848" s="513"/>
      <c r="E848" s="515"/>
      <c r="F848" s="515"/>
      <c r="G848" s="515"/>
      <c r="H848" s="515"/>
      <c r="I848" s="515"/>
      <c r="J848" s="515"/>
      <c r="K848" s="516"/>
      <c r="L848" s="517"/>
      <c r="M848" s="517"/>
      <c r="N848" s="517"/>
      <c r="O848" s="518"/>
      <c r="P848" s="518"/>
    </row>
    <row r="849" spans="1:16" ht="21.75" customHeight="1" x14ac:dyDescent="0.3">
      <c r="A849" s="513"/>
      <c r="B849" s="513"/>
      <c r="C849" s="513"/>
      <c r="D849" s="513"/>
      <c r="E849" s="515"/>
      <c r="F849" s="515"/>
      <c r="G849" s="515"/>
      <c r="H849" s="515"/>
      <c r="I849" s="515"/>
      <c r="J849" s="515"/>
      <c r="K849" s="516"/>
      <c r="L849" s="517"/>
      <c r="M849" s="517"/>
      <c r="N849" s="517"/>
      <c r="O849" s="518"/>
      <c r="P849" s="518"/>
    </row>
    <row r="850" spans="1:16" ht="21.75" customHeight="1" x14ac:dyDescent="0.3">
      <c r="A850" s="513"/>
      <c r="B850" s="513"/>
      <c r="C850" s="513"/>
      <c r="D850" s="513"/>
      <c r="E850" s="515"/>
      <c r="F850" s="515"/>
      <c r="G850" s="515"/>
      <c r="H850" s="515"/>
      <c r="I850" s="515"/>
      <c r="J850" s="515"/>
      <c r="K850" s="516"/>
      <c r="L850" s="517"/>
      <c r="M850" s="517"/>
      <c r="N850" s="517"/>
      <c r="O850" s="518"/>
      <c r="P850" s="518"/>
    </row>
    <row r="851" spans="1:16" ht="21.75" customHeight="1" x14ac:dyDescent="0.3">
      <c r="A851" s="513"/>
      <c r="B851" s="513"/>
      <c r="C851" s="513"/>
      <c r="D851" s="513"/>
      <c r="E851" s="515"/>
      <c r="F851" s="515"/>
      <c r="G851" s="515"/>
      <c r="H851" s="515"/>
      <c r="I851" s="515"/>
      <c r="J851" s="515"/>
      <c r="K851" s="516"/>
      <c r="L851" s="517"/>
      <c r="M851" s="517"/>
      <c r="N851" s="517"/>
      <c r="O851" s="518"/>
      <c r="P851" s="518"/>
    </row>
    <row r="852" spans="1:16" ht="21.75" customHeight="1" x14ac:dyDescent="0.3">
      <c r="A852" s="513"/>
      <c r="B852" s="513"/>
      <c r="C852" s="513"/>
      <c r="D852" s="513"/>
      <c r="E852" s="515"/>
      <c r="F852" s="515"/>
      <c r="G852" s="515"/>
      <c r="H852" s="515"/>
      <c r="I852" s="515"/>
      <c r="J852" s="515"/>
      <c r="K852" s="516"/>
      <c r="L852" s="517"/>
      <c r="M852" s="517"/>
      <c r="N852" s="517"/>
      <c r="O852" s="518"/>
      <c r="P852" s="518"/>
    </row>
    <row r="853" spans="1:16" ht="21.75" customHeight="1" x14ac:dyDescent="0.3">
      <c r="A853" s="513"/>
      <c r="B853" s="513"/>
      <c r="C853" s="513"/>
      <c r="D853" s="513"/>
      <c r="E853" s="515"/>
      <c r="F853" s="515"/>
      <c r="G853" s="515"/>
      <c r="H853" s="515"/>
      <c r="I853" s="515"/>
      <c r="J853" s="515"/>
      <c r="K853" s="516"/>
      <c r="L853" s="517"/>
      <c r="M853" s="517"/>
      <c r="N853" s="517"/>
      <c r="O853" s="518"/>
      <c r="P853" s="518"/>
    </row>
    <row r="854" spans="1:16" ht="21.75" customHeight="1" x14ac:dyDescent="0.3">
      <c r="A854" s="513"/>
      <c r="B854" s="513"/>
      <c r="C854" s="513"/>
      <c r="D854" s="513"/>
      <c r="E854" s="515"/>
      <c r="F854" s="515"/>
      <c r="G854" s="515"/>
      <c r="H854" s="515"/>
      <c r="I854" s="515"/>
      <c r="J854" s="515"/>
      <c r="K854" s="516"/>
      <c r="L854" s="517"/>
      <c r="M854" s="517"/>
      <c r="N854" s="517"/>
      <c r="O854" s="518"/>
      <c r="P854" s="518"/>
    </row>
    <row r="855" spans="1:16" ht="21.75" customHeight="1" x14ac:dyDescent="0.3">
      <c r="A855" s="513"/>
      <c r="B855" s="513"/>
      <c r="C855" s="513"/>
      <c r="D855" s="513"/>
      <c r="E855" s="515"/>
      <c r="F855" s="515"/>
      <c r="G855" s="515"/>
      <c r="H855" s="515"/>
      <c r="I855" s="515"/>
      <c r="J855" s="515"/>
      <c r="K855" s="516"/>
      <c r="L855" s="517"/>
      <c r="M855" s="517"/>
      <c r="N855" s="517"/>
      <c r="O855" s="518"/>
      <c r="P855" s="518"/>
    </row>
    <row r="856" spans="1:16" ht="21.75" customHeight="1" x14ac:dyDescent="0.3">
      <c r="A856" s="513"/>
      <c r="B856" s="513"/>
      <c r="C856" s="513"/>
      <c r="D856" s="513"/>
      <c r="E856" s="515"/>
      <c r="F856" s="515"/>
      <c r="G856" s="515"/>
      <c r="H856" s="515"/>
      <c r="I856" s="515"/>
      <c r="J856" s="515"/>
      <c r="K856" s="516"/>
      <c r="L856" s="517"/>
      <c r="M856" s="517"/>
      <c r="N856" s="517"/>
      <c r="O856" s="518"/>
      <c r="P856" s="518"/>
    </row>
    <row r="857" spans="1:16" ht="21.75" customHeight="1" x14ac:dyDescent="0.3">
      <c r="A857" s="513"/>
      <c r="B857" s="513"/>
      <c r="C857" s="513"/>
      <c r="D857" s="513"/>
      <c r="E857" s="515"/>
      <c r="F857" s="515"/>
      <c r="G857" s="515"/>
      <c r="H857" s="515"/>
      <c r="I857" s="515"/>
      <c r="J857" s="515"/>
      <c r="K857" s="516"/>
      <c r="L857" s="517"/>
      <c r="M857" s="517"/>
      <c r="N857" s="517"/>
      <c r="O857" s="518"/>
      <c r="P857" s="518"/>
    </row>
    <row r="858" spans="1:16" ht="21.75" customHeight="1" x14ac:dyDescent="0.3">
      <c r="A858" s="513"/>
      <c r="B858" s="513"/>
      <c r="C858" s="513"/>
      <c r="D858" s="513"/>
      <c r="E858" s="515"/>
      <c r="F858" s="515"/>
      <c r="G858" s="515"/>
      <c r="H858" s="515"/>
      <c r="I858" s="515"/>
      <c r="J858" s="515"/>
      <c r="K858" s="516"/>
      <c r="L858" s="517"/>
      <c r="M858" s="517"/>
      <c r="N858" s="517"/>
      <c r="O858" s="518"/>
      <c r="P858" s="518"/>
    </row>
    <row r="859" spans="1:16" ht="21.75" customHeight="1" x14ac:dyDescent="0.3">
      <c r="A859" s="513"/>
      <c r="B859" s="513"/>
      <c r="C859" s="513"/>
      <c r="D859" s="513"/>
      <c r="E859" s="515"/>
      <c r="F859" s="515"/>
      <c r="G859" s="515"/>
      <c r="H859" s="515"/>
      <c r="I859" s="515"/>
      <c r="J859" s="515"/>
      <c r="K859" s="516"/>
      <c r="L859" s="517"/>
      <c r="M859" s="517"/>
      <c r="N859" s="517"/>
      <c r="O859" s="518"/>
      <c r="P859" s="518"/>
    </row>
    <row r="860" spans="1:16" ht="21.75" customHeight="1" x14ac:dyDescent="0.3">
      <c r="A860" s="513"/>
      <c r="B860" s="513"/>
      <c r="C860" s="513"/>
      <c r="D860" s="513"/>
      <c r="E860" s="515"/>
      <c r="F860" s="515"/>
      <c r="G860" s="515"/>
      <c r="H860" s="515"/>
      <c r="I860" s="515"/>
      <c r="J860" s="515"/>
      <c r="K860" s="516"/>
      <c r="L860" s="517"/>
      <c r="M860" s="517"/>
      <c r="N860" s="517"/>
      <c r="O860" s="518"/>
      <c r="P860" s="518"/>
    </row>
    <row r="861" spans="1:16" ht="21.75" customHeight="1" x14ac:dyDescent="0.3">
      <c r="A861" s="513"/>
      <c r="B861" s="513"/>
      <c r="C861" s="513"/>
      <c r="D861" s="513"/>
      <c r="E861" s="515"/>
      <c r="F861" s="515"/>
      <c r="G861" s="515"/>
      <c r="H861" s="515"/>
      <c r="I861" s="515"/>
      <c r="J861" s="515"/>
      <c r="K861" s="516"/>
      <c r="L861" s="517"/>
      <c r="M861" s="517"/>
      <c r="N861" s="517"/>
      <c r="O861" s="518"/>
      <c r="P861" s="518"/>
    </row>
    <row r="862" spans="1:16" ht="21.75" customHeight="1" x14ac:dyDescent="0.3">
      <c r="A862" s="513"/>
      <c r="B862" s="513"/>
      <c r="C862" s="513"/>
      <c r="D862" s="513"/>
      <c r="E862" s="515"/>
      <c r="F862" s="515"/>
      <c r="G862" s="515"/>
      <c r="H862" s="515"/>
      <c r="I862" s="515"/>
      <c r="J862" s="515"/>
      <c r="K862" s="516"/>
      <c r="L862" s="517"/>
      <c r="M862" s="517"/>
      <c r="N862" s="517"/>
      <c r="O862" s="518"/>
      <c r="P862" s="518"/>
    </row>
    <row r="863" spans="1:16" ht="21.75" customHeight="1" x14ac:dyDescent="0.3">
      <c r="A863" s="513"/>
      <c r="B863" s="513"/>
      <c r="C863" s="513"/>
      <c r="D863" s="513"/>
      <c r="E863" s="515"/>
      <c r="F863" s="515"/>
      <c r="G863" s="515"/>
      <c r="H863" s="515"/>
      <c r="I863" s="515"/>
      <c r="J863" s="515"/>
      <c r="K863" s="516"/>
      <c r="L863" s="517"/>
      <c r="M863" s="517"/>
      <c r="N863" s="517"/>
      <c r="O863" s="518"/>
      <c r="P863" s="518"/>
    </row>
    <row r="864" spans="1:16" ht="21.75" customHeight="1" x14ac:dyDescent="0.3">
      <c r="A864" s="513"/>
      <c r="B864" s="513"/>
      <c r="C864" s="513"/>
      <c r="D864" s="513"/>
      <c r="E864" s="515"/>
      <c r="F864" s="515"/>
      <c r="G864" s="515"/>
      <c r="H864" s="515"/>
      <c r="I864" s="515"/>
      <c r="J864" s="515"/>
      <c r="K864" s="516"/>
      <c r="L864" s="517"/>
      <c r="M864" s="517"/>
      <c r="N864" s="517"/>
      <c r="O864" s="518"/>
      <c r="P864" s="518"/>
    </row>
    <row r="865" spans="1:16" ht="21.75" customHeight="1" x14ac:dyDescent="0.3">
      <c r="A865" s="513"/>
      <c r="B865" s="513"/>
      <c r="C865" s="513"/>
      <c r="D865" s="513"/>
      <c r="E865" s="515"/>
      <c r="F865" s="515"/>
      <c r="G865" s="515"/>
      <c r="H865" s="515"/>
      <c r="I865" s="515"/>
      <c r="J865" s="515"/>
      <c r="K865" s="516"/>
      <c r="L865" s="517"/>
      <c r="M865" s="517"/>
      <c r="N865" s="517"/>
      <c r="O865" s="518"/>
      <c r="P865" s="518"/>
    </row>
    <row r="866" spans="1:16" ht="21.75" customHeight="1" x14ac:dyDescent="0.3">
      <c r="A866" s="513"/>
      <c r="B866" s="513"/>
      <c r="C866" s="513"/>
      <c r="D866" s="513"/>
      <c r="E866" s="515"/>
      <c r="F866" s="515"/>
      <c r="G866" s="515"/>
      <c r="H866" s="515"/>
      <c r="I866" s="515"/>
      <c r="J866" s="515"/>
      <c r="K866" s="516"/>
      <c r="L866" s="517"/>
      <c r="M866" s="517"/>
      <c r="N866" s="517"/>
      <c r="O866" s="518"/>
      <c r="P866" s="518"/>
    </row>
    <row r="867" spans="1:16" ht="21.75" customHeight="1" x14ac:dyDescent="0.3">
      <c r="A867" s="513"/>
      <c r="B867" s="513"/>
      <c r="C867" s="513"/>
      <c r="D867" s="513"/>
      <c r="E867" s="515"/>
      <c r="F867" s="515"/>
      <c r="G867" s="515"/>
      <c r="H867" s="515"/>
      <c r="I867" s="515"/>
      <c r="J867" s="515"/>
      <c r="K867" s="516"/>
      <c r="L867" s="517"/>
      <c r="M867" s="517"/>
      <c r="N867" s="517"/>
      <c r="O867" s="518"/>
      <c r="P867" s="518"/>
    </row>
    <row r="868" spans="1:16" ht="21.75" customHeight="1" x14ac:dyDescent="0.3">
      <c r="A868" s="513"/>
      <c r="B868" s="513"/>
      <c r="C868" s="513"/>
      <c r="D868" s="513"/>
      <c r="E868" s="515"/>
      <c r="F868" s="515"/>
      <c r="G868" s="515"/>
      <c r="H868" s="515"/>
      <c r="I868" s="515"/>
      <c r="J868" s="515"/>
      <c r="K868" s="516"/>
      <c r="L868" s="517"/>
      <c r="M868" s="517"/>
      <c r="N868" s="517"/>
      <c r="O868" s="518"/>
      <c r="P868" s="518"/>
    </row>
    <row r="869" spans="1:16" ht="21.75" customHeight="1" x14ac:dyDescent="0.3">
      <c r="A869" s="513"/>
      <c r="B869" s="513"/>
      <c r="C869" s="513"/>
      <c r="D869" s="513"/>
      <c r="E869" s="515"/>
      <c r="F869" s="515"/>
      <c r="G869" s="515"/>
      <c r="H869" s="515"/>
      <c r="I869" s="515"/>
      <c r="J869" s="515"/>
      <c r="K869" s="516"/>
      <c r="L869" s="517"/>
      <c r="M869" s="517"/>
      <c r="N869" s="517"/>
      <c r="O869" s="518"/>
      <c r="P869" s="518"/>
    </row>
    <row r="870" spans="1:16" ht="21.75" customHeight="1" x14ac:dyDescent="0.3">
      <c r="A870" s="513"/>
      <c r="B870" s="513"/>
      <c r="C870" s="513"/>
      <c r="D870" s="513"/>
      <c r="E870" s="515"/>
      <c r="F870" s="515"/>
      <c r="G870" s="515"/>
      <c r="H870" s="515"/>
      <c r="I870" s="515"/>
      <c r="J870" s="515"/>
      <c r="K870" s="516"/>
      <c r="L870" s="517"/>
      <c r="M870" s="517"/>
      <c r="N870" s="517"/>
      <c r="O870" s="518"/>
      <c r="P870" s="518"/>
    </row>
    <row r="871" spans="1:16" ht="21.75" customHeight="1" x14ac:dyDescent="0.3">
      <c r="A871" s="513"/>
      <c r="B871" s="513"/>
      <c r="C871" s="513"/>
      <c r="D871" s="513"/>
      <c r="E871" s="515"/>
      <c r="F871" s="515"/>
      <c r="G871" s="515"/>
      <c r="H871" s="515"/>
      <c r="I871" s="515"/>
      <c r="J871" s="515"/>
      <c r="K871" s="516"/>
      <c r="L871" s="517"/>
      <c r="M871" s="517"/>
      <c r="N871" s="517"/>
      <c r="O871" s="518"/>
      <c r="P871" s="518"/>
    </row>
    <row r="872" spans="1:16" ht="21.75" customHeight="1" x14ac:dyDescent="0.3">
      <c r="A872" s="513"/>
      <c r="B872" s="513"/>
      <c r="C872" s="513"/>
      <c r="D872" s="513"/>
      <c r="E872" s="515"/>
      <c r="F872" s="515"/>
      <c r="G872" s="515"/>
      <c r="H872" s="515"/>
      <c r="I872" s="515"/>
      <c r="J872" s="515"/>
      <c r="K872" s="516"/>
      <c r="L872" s="517"/>
      <c r="M872" s="517"/>
      <c r="N872" s="517"/>
      <c r="O872" s="518"/>
      <c r="P872" s="518"/>
    </row>
    <row r="873" spans="1:16" ht="21.75" customHeight="1" x14ac:dyDescent="0.3">
      <c r="A873" s="513"/>
      <c r="B873" s="513"/>
      <c r="C873" s="513"/>
      <c r="D873" s="513"/>
      <c r="E873" s="515"/>
      <c r="F873" s="515"/>
      <c r="G873" s="515"/>
      <c r="H873" s="515"/>
      <c r="I873" s="515"/>
      <c r="J873" s="515"/>
      <c r="K873" s="516"/>
      <c r="L873" s="517"/>
      <c r="M873" s="517"/>
      <c r="N873" s="517"/>
      <c r="O873" s="518"/>
      <c r="P873" s="518"/>
    </row>
    <row r="874" spans="1:16" ht="21.75" customHeight="1" x14ac:dyDescent="0.3">
      <c r="A874" s="513"/>
      <c r="B874" s="513"/>
      <c r="C874" s="513"/>
      <c r="D874" s="513"/>
      <c r="E874" s="515"/>
      <c r="F874" s="515"/>
      <c r="G874" s="515"/>
      <c r="H874" s="515"/>
      <c r="I874" s="515"/>
      <c r="J874" s="515"/>
      <c r="K874" s="516"/>
      <c r="L874" s="517"/>
      <c r="M874" s="517"/>
      <c r="N874" s="517"/>
      <c r="O874" s="518"/>
      <c r="P874" s="518"/>
    </row>
    <row r="875" spans="1:16" ht="21.75" customHeight="1" x14ac:dyDescent="0.3">
      <c r="A875" s="513"/>
      <c r="B875" s="513"/>
      <c r="C875" s="513"/>
      <c r="D875" s="513"/>
      <c r="E875" s="515"/>
      <c r="F875" s="515"/>
      <c r="G875" s="515"/>
      <c r="H875" s="515"/>
      <c r="I875" s="515"/>
      <c r="J875" s="515"/>
      <c r="K875" s="516"/>
      <c r="L875" s="517"/>
      <c r="M875" s="517"/>
      <c r="N875" s="517"/>
      <c r="O875" s="518"/>
      <c r="P875" s="518"/>
    </row>
    <row r="876" spans="1:16" ht="21.75" customHeight="1" x14ac:dyDescent="0.3">
      <c r="A876" s="513"/>
      <c r="B876" s="513"/>
      <c r="C876" s="513"/>
      <c r="D876" s="513"/>
      <c r="E876" s="515"/>
      <c r="F876" s="515"/>
      <c r="G876" s="515"/>
      <c r="H876" s="515"/>
      <c r="I876" s="515"/>
      <c r="J876" s="515"/>
      <c r="K876" s="516"/>
      <c r="L876" s="517"/>
      <c r="M876" s="517"/>
      <c r="N876" s="517"/>
      <c r="O876" s="518"/>
      <c r="P876" s="518"/>
    </row>
    <row r="877" spans="1:16" ht="21.75" customHeight="1" x14ac:dyDescent="0.3">
      <c r="A877" s="513"/>
      <c r="B877" s="513"/>
      <c r="C877" s="513"/>
      <c r="D877" s="513"/>
      <c r="E877" s="515"/>
      <c r="F877" s="515"/>
      <c r="G877" s="515"/>
      <c r="H877" s="515"/>
      <c r="I877" s="515"/>
      <c r="J877" s="515"/>
      <c r="K877" s="516"/>
      <c r="L877" s="517"/>
      <c r="M877" s="517"/>
      <c r="N877" s="517"/>
      <c r="O877" s="518"/>
      <c r="P877" s="518"/>
    </row>
    <row r="878" spans="1:16" ht="21.75" customHeight="1" x14ac:dyDescent="0.3">
      <c r="A878" s="513"/>
      <c r="B878" s="513"/>
      <c r="C878" s="513"/>
      <c r="D878" s="513"/>
      <c r="E878" s="515"/>
      <c r="F878" s="515"/>
      <c r="G878" s="515"/>
      <c r="H878" s="515"/>
      <c r="I878" s="515"/>
      <c r="J878" s="515"/>
      <c r="K878" s="516"/>
      <c r="L878" s="517"/>
      <c r="M878" s="517"/>
      <c r="N878" s="517"/>
      <c r="O878" s="518"/>
      <c r="P878" s="518"/>
    </row>
    <row r="879" spans="1:16" ht="21.75" customHeight="1" x14ac:dyDescent="0.3">
      <c r="A879" s="513"/>
      <c r="B879" s="513"/>
      <c r="C879" s="513"/>
      <c r="D879" s="513"/>
      <c r="E879" s="515"/>
      <c r="F879" s="515"/>
      <c r="G879" s="515"/>
      <c r="H879" s="515"/>
      <c r="I879" s="515"/>
      <c r="J879" s="515"/>
      <c r="K879" s="516"/>
      <c r="L879" s="517"/>
      <c r="M879" s="517"/>
      <c r="N879" s="517"/>
      <c r="O879" s="518"/>
      <c r="P879" s="518"/>
    </row>
    <row r="880" spans="1:16" ht="21.75" customHeight="1" x14ac:dyDescent="0.3">
      <c r="A880" s="513"/>
      <c r="B880" s="513"/>
      <c r="C880" s="513"/>
      <c r="D880" s="513"/>
      <c r="E880" s="515"/>
      <c r="F880" s="515"/>
      <c r="G880" s="515"/>
      <c r="H880" s="515"/>
      <c r="I880" s="515"/>
      <c r="J880" s="515"/>
      <c r="K880" s="516"/>
      <c r="L880" s="517"/>
      <c r="M880" s="517"/>
      <c r="N880" s="517"/>
      <c r="O880" s="518"/>
      <c r="P880" s="518"/>
    </row>
    <row r="881" spans="1:16" ht="21.75" customHeight="1" x14ac:dyDescent="0.3">
      <c r="A881" s="513"/>
      <c r="B881" s="513"/>
      <c r="C881" s="513"/>
      <c r="D881" s="513"/>
      <c r="E881" s="515"/>
      <c r="F881" s="515"/>
      <c r="G881" s="515"/>
      <c r="H881" s="515"/>
      <c r="I881" s="515"/>
      <c r="J881" s="515"/>
      <c r="K881" s="516"/>
      <c r="L881" s="517"/>
      <c r="M881" s="517"/>
      <c r="N881" s="517"/>
      <c r="O881" s="518"/>
      <c r="P881" s="518"/>
    </row>
    <row r="882" spans="1:16" ht="21.75" customHeight="1" x14ac:dyDescent="0.3">
      <c r="A882" s="513"/>
      <c r="B882" s="513"/>
      <c r="C882" s="513"/>
      <c r="D882" s="513"/>
      <c r="E882" s="515"/>
      <c r="F882" s="515"/>
      <c r="G882" s="515"/>
      <c r="H882" s="515"/>
      <c r="I882" s="515"/>
      <c r="J882" s="515"/>
      <c r="K882" s="516"/>
      <c r="L882" s="517"/>
      <c r="M882" s="517"/>
      <c r="N882" s="517"/>
      <c r="O882" s="518"/>
      <c r="P882" s="518"/>
    </row>
    <row r="883" spans="1:16" ht="21.75" customHeight="1" x14ac:dyDescent="0.3">
      <c r="A883" s="513"/>
      <c r="B883" s="513"/>
      <c r="C883" s="513"/>
      <c r="D883" s="513"/>
      <c r="E883" s="515"/>
      <c r="F883" s="515"/>
      <c r="G883" s="515"/>
      <c r="H883" s="515"/>
      <c r="I883" s="515"/>
      <c r="J883" s="515"/>
      <c r="K883" s="516"/>
      <c r="L883" s="517"/>
      <c r="M883" s="517"/>
      <c r="N883" s="517"/>
      <c r="O883" s="518"/>
      <c r="P883" s="518"/>
    </row>
    <row r="884" spans="1:16" ht="21.75" customHeight="1" x14ac:dyDescent="0.3">
      <c r="A884" s="513"/>
      <c r="B884" s="513"/>
      <c r="C884" s="513"/>
      <c r="D884" s="513"/>
      <c r="E884" s="515"/>
      <c r="F884" s="515"/>
      <c r="G884" s="515"/>
      <c r="H884" s="515"/>
      <c r="I884" s="515"/>
      <c r="J884" s="515"/>
      <c r="K884" s="516"/>
      <c r="L884" s="517"/>
      <c r="M884" s="517"/>
      <c r="N884" s="517"/>
      <c r="O884" s="518"/>
      <c r="P884" s="518"/>
    </row>
    <row r="885" spans="1:16" ht="21.75" customHeight="1" x14ac:dyDescent="0.3">
      <c r="A885" s="513"/>
      <c r="B885" s="513"/>
      <c r="C885" s="513"/>
      <c r="D885" s="513"/>
      <c r="E885" s="515"/>
      <c r="F885" s="515"/>
      <c r="G885" s="515"/>
      <c r="H885" s="515"/>
      <c r="I885" s="515"/>
      <c r="J885" s="515"/>
      <c r="K885" s="516"/>
      <c r="L885" s="517"/>
      <c r="M885" s="517"/>
      <c r="N885" s="517"/>
      <c r="O885" s="518"/>
      <c r="P885" s="518"/>
    </row>
    <row r="886" spans="1:16" ht="21.75" customHeight="1" x14ac:dyDescent="0.3">
      <c r="A886" s="513"/>
      <c r="B886" s="513"/>
      <c r="C886" s="513"/>
      <c r="D886" s="513"/>
      <c r="E886" s="515"/>
      <c r="F886" s="515"/>
      <c r="G886" s="515"/>
      <c r="H886" s="515"/>
      <c r="I886" s="515"/>
      <c r="J886" s="515"/>
      <c r="K886" s="516"/>
      <c r="L886" s="517"/>
      <c r="M886" s="517"/>
      <c r="N886" s="517"/>
      <c r="O886" s="518"/>
      <c r="P886" s="518"/>
    </row>
    <row r="887" spans="1:16" ht="21.75" customHeight="1" x14ac:dyDescent="0.3">
      <c r="A887" s="513"/>
      <c r="B887" s="513"/>
      <c r="C887" s="513"/>
      <c r="D887" s="513"/>
      <c r="E887" s="515"/>
      <c r="F887" s="515"/>
      <c r="G887" s="515"/>
      <c r="H887" s="515"/>
      <c r="I887" s="515"/>
      <c r="J887" s="515"/>
      <c r="K887" s="516"/>
      <c r="L887" s="517"/>
      <c r="M887" s="517"/>
      <c r="N887" s="517"/>
      <c r="O887" s="518"/>
      <c r="P887" s="518"/>
    </row>
    <row r="888" spans="1:16" ht="21.75" customHeight="1" x14ac:dyDescent="0.3">
      <c r="A888" s="513"/>
      <c r="B888" s="513"/>
      <c r="C888" s="513"/>
      <c r="D888" s="513"/>
      <c r="E888" s="515"/>
      <c r="F888" s="515"/>
      <c r="G888" s="515"/>
      <c r="H888" s="515"/>
      <c r="I888" s="515"/>
      <c r="J888" s="515"/>
      <c r="K888" s="516"/>
      <c r="L888" s="517"/>
      <c r="M888" s="517"/>
      <c r="N888" s="517"/>
      <c r="O888" s="518"/>
      <c r="P888" s="518"/>
    </row>
    <row r="889" spans="1:16" ht="21.75" customHeight="1" x14ac:dyDescent="0.3">
      <c r="A889" s="513"/>
      <c r="B889" s="513"/>
      <c r="C889" s="513"/>
      <c r="D889" s="513"/>
      <c r="E889" s="515"/>
      <c r="F889" s="515"/>
      <c r="G889" s="515"/>
      <c r="H889" s="515"/>
      <c r="I889" s="515"/>
      <c r="J889" s="515"/>
      <c r="K889" s="516"/>
      <c r="L889" s="517"/>
      <c r="M889" s="517"/>
      <c r="N889" s="517"/>
      <c r="O889" s="518"/>
      <c r="P889" s="518"/>
    </row>
    <row r="890" spans="1:16" ht="21.75" customHeight="1" x14ac:dyDescent="0.3">
      <c r="A890" s="513"/>
      <c r="B890" s="513"/>
      <c r="C890" s="513"/>
      <c r="D890" s="513"/>
      <c r="E890" s="515"/>
      <c r="F890" s="515"/>
      <c r="G890" s="515"/>
      <c r="H890" s="515"/>
      <c r="I890" s="515"/>
      <c r="J890" s="515"/>
      <c r="K890" s="516"/>
      <c r="L890" s="517"/>
      <c r="M890" s="517"/>
      <c r="N890" s="517"/>
      <c r="O890" s="518"/>
      <c r="P890" s="518"/>
    </row>
    <row r="891" spans="1:16" ht="21.75" customHeight="1" x14ac:dyDescent="0.3">
      <c r="A891" s="513"/>
      <c r="B891" s="513"/>
      <c r="C891" s="513"/>
      <c r="D891" s="513"/>
      <c r="E891" s="515"/>
      <c r="F891" s="515"/>
      <c r="G891" s="515"/>
      <c r="H891" s="515"/>
      <c r="I891" s="515"/>
      <c r="J891" s="515"/>
      <c r="K891" s="516"/>
      <c r="L891" s="517"/>
      <c r="M891" s="517"/>
      <c r="N891" s="517"/>
      <c r="O891" s="518"/>
      <c r="P891" s="518"/>
    </row>
    <row r="892" spans="1:16" ht="21.75" customHeight="1" x14ac:dyDescent="0.3">
      <c r="A892" s="513"/>
      <c r="B892" s="513"/>
      <c r="C892" s="513"/>
      <c r="D892" s="513"/>
      <c r="E892" s="515"/>
      <c r="F892" s="515"/>
      <c r="G892" s="515"/>
      <c r="H892" s="515"/>
      <c r="I892" s="515"/>
      <c r="J892" s="515"/>
      <c r="K892" s="516"/>
      <c r="L892" s="517"/>
      <c r="M892" s="517"/>
      <c r="N892" s="517"/>
      <c r="O892" s="518"/>
      <c r="P892" s="518"/>
    </row>
    <row r="893" spans="1:16" ht="21.75" customHeight="1" x14ac:dyDescent="0.3">
      <c r="A893" s="513"/>
      <c r="B893" s="513"/>
      <c r="C893" s="513"/>
      <c r="D893" s="513"/>
      <c r="E893" s="515"/>
      <c r="F893" s="515"/>
      <c r="G893" s="515"/>
      <c r="H893" s="515"/>
      <c r="I893" s="515"/>
      <c r="J893" s="515"/>
      <c r="K893" s="516"/>
      <c r="L893" s="517"/>
      <c r="M893" s="517"/>
      <c r="N893" s="517"/>
      <c r="O893" s="518"/>
      <c r="P893" s="518"/>
    </row>
    <row r="894" spans="1:16" ht="21.75" customHeight="1" x14ac:dyDescent="0.3">
      <c r="A894" s="513"/>
      <c r="B894" s="513"/>
      <c r="C894" s="513"/>
      <c r="D894" s="513"/>
      <c r="E894" s="515"/>
      <c r="F894" s="515"/>
      <c r="G894" s="515"/>
      <c r="H894" s="515"/>
      <c r="I894" s="515"/>
      <c r="J894" s="515"/>
      <c r="K894" s="516"/>
      <c r="L894" s="517"/>
      <c r="M894" s="517"/>
      <c r="N894" s="517"/>
      <c r="O894" s="518"/>
      <c r="P894" s="518"/>
    </row>
    <row r="895" spans="1:16" ht="21.75" customHeight="1" x14ac:dyDescent="0.3">
      <c r="A895" s="513"/>
      <c r="B895" s="513"/>
      <c r="C895" s="513"/>
      <c r="D895" s="513"/>
      <c r="E895" s="515"/>
      <c r="F895" s="515"/>
      <c r="G895" s="515"/>
      <c r="H895" s="515"/>
      <c r="I895" s="515"/>
      <c r="J895" s="515"/>
      <c r="K895" s="516"/>
      <c r="L895" s="517"/>
      <c r="M895" s="517"/>
      <c r="N895" s="517"/>
      <c r="O895" s="518"/>
      <c r="P895" s="518"/>
    </row>
    <row r="896" spans="1:16" ht="21.75" customHeight="1" x14ac:dyDescent="0.3">
      <c r="A896" s="513"/>
      <c r="B896" s="513"/>
      <c r="C896" s="513"/>
      <c r="D896" s="513"/>
      <c r="E896" s="515"/>
      <c r="F896" s="515"/>
      <c r="G896" s="515"/>
      <c r="H896" s="515"/>
      <c r="I896" s="515"/>
      <c r="J896" s="515"/>
      <c r="K896" s="516"/>
      <c r="L896" s="517"/>
      <c r="M896" s="517"/>
      <c r="N896" s="517"/>
      <c r="O896" s="518"/>
      <c r="P896" s="518"/>
    </row>
    <row r="897" spans="1:16" ht="21.75" customHeight="1" x14ac:dyDescent="0.3">
      <c r="A897" s="513"/>
      <c r="B897" s="513"/>
      <c r="C897" s="513"/>
      <c r="D897" s="513"/>
      <c r="E897" s="515"/>
      <c r="F897" s="515"/>
      <c r="G897" s="515"/>
      <c r="H897" s="515"/>
      <c r="I897" s="515"/>
      <c r="J897" s="515"/>
      <c r="K897" s="516"/>
      <c r="L897" s="517"/>
      <c r="M897" s="517"/>
      <c r="N897" s="517"/>
      <c r="O897" s="518"/>
      <c r="P897" s="518"/>
    </row>
    <row r="898" spans="1:16" ht="21.75" customHeight="1" x14ac:dyDescent="0.3">
      <c r="A898" s="513"/>
      <c r="B898" s="513"/>
      <c r="C898" s="513"/>
      <c r="D898" s="513"/>
      <c r="E898" s="515"/>
      <c r="F898" s="515"/>
      <c r="G898" s="515"/>
      <c r="H898" s="515"/>
      <c r="I898" s="515"/>
      <c r="J898" s="515"/>
      <c r="K898" s="516"/>
      <c r="L898" s="517"/>
      <c r="M898" s="517"/>
      <c r="N898" s="517"/>
      <c r="O898" s="518"/>
      <c r="P898" s="518"/>
    </row>
    <row r="899" spans="1:16" ht="21.75" customHeight="1" x14ac:dyDescent="0.3">
      <c r="A899" s="513"/>
      <c r="B899" s="513"/>
      <c r="C899" s="513"/>
      <c r="D899" s="513"/>
      <c r="E899" s="515"/>
      <c r="F899" s="515"/>
      <c r="G899" s="515"/>
      <c r="H899" s="515"/>
      <c r="I899" s="515"/>
      <c r="J899" s="515"/>
      <c r="K899" s="516"/>
      <c r="L899" s="517"/>
      <c r="M899" s="517"/>
      <c r="N899" s="517"/>
      <c r="O899" s="518"/>
      <c r="P899" s="518"/>
    </row>
    <row r="900" spans="1:16" ht="21.75" customHeight="1" x14ac:dyDescent="0.3">
      <c r="A900" s="513"/>
      <c r="B900" s="513"/>
      <c r="C900" s="513"/>
      <c r="D900" s="513"/>
      <c r="E900" s="515"/>
      <c r="F900" s="515"/>
      <c r="G900" s="515"/>
      <c r="H900" s="515"/>
      <c r="I900" s="515"/>
      <c r="J900" s="515"/>
      <c r="K900" s="516"/>
      <c r="L900" s="517"/>
      <c r="M900" s="517"/>
      <c r="N900" s="517"/>
      <c r="O900" s="518"/>
      <c r="P900" s="518"/>
    </row>
    <row r="901" spans="1:16" ht="21.75" customHeight="1" x14ac:dyDescent="0.3">
      <c r="A901" s="513"/>
      <c r="B901" s="513"/>
      <c r="C901" s="513"/>
      <c r="D901" s="513"/>
      <c r="E901" s="515"/>
      <c r="F901" s="515"/>
      <c r="G901" s="515"/>
      <c r="H901" s="515"/>
      <c r="I901" s="515"/>
      <c r="J901" s="515"/>
      <c r="K901" s="516"/>
      <c r="L901" s="517"/>
      <c r="M901" s="517"/>
      <c r="N901" s="517"/>
      <c r="O901" s="518"/>
      <c r="P901" s="518"/>
    </row>
    <row r="902" spans="1:16" ht="21.75" customHeight="1" x14ac:dyDescent="0.3">
      <c r="A902" s="513"/>
      <c r="B902" s="513"/>
      <c r="C902" s="513"/>
      <c r="D902" s="513"/>
      <c r="E902" s="515"/>
      <c r="F902" s="515"/>
      <c r="G902" s="515"/>
      <c r="H902" s="515"/>
      <c r="I902" s="515"/>
      <c r="J902" s="515"/>
      <c r="K902" s="516"/>
      <c r="L902" s="517"/>
      <c r="M902" s="517"/>
      <c r="N902" s="517"/>
      <c r="O902" s="518"/>
      <c r="P902" s="518"/>
    </row>
    <row r="903" spans="1:16" ht="21.75" customHeight="1" x14ac:dyDescent="0.3">
      <c r="A903" s="513"/>
      <c r="B903" s="513"/>
      <c r="C903" s="513"/>
      <c r="D903" s="513"/>
      <c r="E903" s="515"/>
      <c r="F903" s="515"/>
      <c r="G903" s="515"/>
      <c r="H903" s="515"/>
      <c r="I903" s="515"/>
      <c r="J903" s="515"/>
      <c r="K903" s="516"/>
      <c r="L903" s="517"/>
      <c r="M903" s="517"/>
      <c r="N903" s="517"/>
      <c r="O903" s="518"/>
      <c r="P903" s="518"/>
    </row>
    <row r="904" spans="1:16" ht="21.75" customHeight="1" x14ac:dyDescent="0.3">
      <c r="A904" s="513"/>
      <c r="B904" s="513"/>
      <c r="C904" s="513"/>
      <c r="D904" s="513"/>
      <c r="E904" s="515"/>
      <c r="F904" s="515"/>
      <c r="G904" s="515"/>
      <c r="H904" s="515"/>
      <c r="I904" s="515"/>
      <c r="J904" s="515"/>
      <c r="K904" s="516"/>
      <c r="L904" s="517"/>
      <c r="M904" s="517"/>
      <c r="N904" s="517"/>
      <c r="O904" s="518"/>
      <c r="P904" s="518"/>
    </row>
    <row r="905" spans="1:16" ht="21.75" customHeight="1" x14ac:dyDescent="0.3">
      <c r="A905" s="513"/>
      <c r="B905" s="513"/>
      <c r="C905" s="513"/>
      <c r="D905" s="513"/>
      <c r="E905" s="515"/>
      <c r="F905" s="515"/>
      <c r="G905" s="515"/>
      <c r="H905" s="515"/>
      <c r="I905" s="515"/>
      <c r="J905" s="515"/>
      <c r="K905" s="516"/>
      <c r="L905" s="517"/>
      <c r="M905" s="517"/>
      <c r="N905" s="517"/>
      <c r="O905" s="518"/>
      <c r="P905" s="518"/>
    </row>
    <row r="906" spans="1:16" ht="21.75" customHeight="1" x14ac:dyDescent="0.3">
      <c r="A906" s="513"/>
      <c r="B906" s="513"/>
      <c r="C906" s="513"/>
      <c r="D906" s="513"/>
      <c r="E906" s="515"/>
      <c r="F906" s="515"/>
      <c r="G906" s="515"/>
      <c r="H906" s="515"/>
      <c r="I906" s="515"/>
      <c r="J906" s="515"/>
      <c r="K906" s="516"/>
      <c r="L906" s="517"/>
      <c r="M906" s="517"/>
      <c r="N906" s="517"/>
      <c r="O906" s="518"/>
      <c r="P906" s="518"/>
    </row>
    <row r="907" spans="1:16" ht="21.75" customHeight="1" x14ac:dyDescent="0.3">
      <c r="A907" s="513"/>
      <c r="B907" s="513"/>
      <c r="C907" s="513"/>
      <c r="D907" s="513"/>
      <c r="E907" s="515"/>
      <c r="F907" s="515"/>
      <c r="G907" s="515"/>
      <c r="H907" s="515"/>
      <c r="I907" s="515"/>
      <c r="J907" s="515"/>
      <c r="K907" s="516"/>
      <c r="L907" s="517"/>
      <c r="M907" s="517"/>
      <c r="N907" s="517"/>
      <c r="O907" s="518"/>
      <c r="P907" s="518"/>
    </row>
    <row r="908" spans="1:16" ht="21.75" customHeight="1" x14ac:dyDescent="0.3">
      <c r="A908" s="513"/>
      <c r="B908" s="513"/>
      <c r="C908" s="513"/>
      <c r="D908" s="513"/>
      <c r="E908" s="515"/>
      <c r="F908" s="515"/>
      <c r="G908" s="515"/>
      <c r="H908" s="515"/>
      <c r="I908" s="515"/>
      <c r="J908" s="515"/>
      <c r="K908" s="516"/>
      <c r="L908" s="517"/>
      <c r="M908" s="517"/>
      <c r="N908" s="517"/>
      <c r="O908" s="518"/>
      <c r="P908" s="518"/>
    </row>
    <row r="909" spans="1:16" ht="21.75" customHeight="1" x14ac:dyDescent="0.3">
      <c r="A909" s="513"/>
      <c r="B909" s="513"/>
      <c r="C909" s="513"/>
      <c r="D909" s="513"/>
      <c r="E909" s="515"/>
      <c r="F909" s="515"/>
      <c r="G909" s="515"/>
      <c r="H909" s="515"/>
      <c r="I909" s="515"/>
      <c r="J909" s="515"/>
      <c r="K909" s="516"/>
      <c r="L909" s="517"/>
      <c r="M909" s="517"/>
      <c r="N909" s="517"/>
      <c r="O909" s="518"/>
      <c r="P909" s="518"/>
    </row>
    <row r="910" spans="1:16" ht="21.75" customHeight="1" x14ac:dyDescent="0.3">
      <c r="A910" s="513"/>
      <c r="B910" s="513"/>
      <c r="C910" s="513"/>
      <c r="D910" s="513"/>
      <c r="E910" s="515"/>
      <c r="F910" s="515"/>
      <c r="G910" s="515"/>
      <c r="H910" s="515"/>
      <c r="I910" s="515"/>
      <c r="J910" s="515"/>
      <c r="K910" s="516"/>
      <c r="L910" s="517"/>
      <c r="M910" s="517"/>
      <c r="N910" s="517"/>
      <c r="O910" s="518"/>
      <c r="P910" s="518"/>
    </row>
    <row r="911" spans="1:16" ht="21.75" customHeight="1" x14ac:dyDescent="0.3">
      <c r="A911" s="513"/>
      <c r="B911" s="513"/>
      <c r="C911" s="513"/>
      <c r="D911" s="513"/>
      <c r="E911" s="515"/>
      <c r="F911" s="515"/>
      <c r="G911" s="515"/>
      <c r="H911" s="515"/>
      <c r="I911" s="515"/>
      <c r="J911" s="515"/>
      <c r="K911" s="516"/>
      <c r="L911" s="517"/>
      <c r="M911" s="517"/>
      <c r="N911" s="517"/>
      <c r="O911" s="518"/>
      <c r="P911" s="518"/>
    </row>
    <row r="912" spans="1:16" ht="21.75" customHeight="1" x14ac:dyDescent="0.3">
      <c r="A912" s="513"/>
      <c r="B912" s="513"/>
      <c r="C912" s="513"/>
      <c r="D912" s="513"/>
      <c r="E912" s="515"/>
      <c r="F912" s="515"/>
      <c r="G912" s="515"/>
      <c r="H912" s="515"/>
      <c r="I912" s="515"/>
      <c r="J912" s="515"/>
      <c r="K912" s="516"/>
      <c r="L912" s="517"/>
      <c r="M912" s="517"/>
      <c r="N912" s="517"/>
      <c r="O912" s="518"/>
      <c r="P912" s="518"/>
    </row>
    <row r="913" spans="1:16" ht="21.75" customHeight="1" x14ac:dyDescent="0.3">
      <c r="A913" s="513"/>
      <c r="B913" s="513"/>
      <c r="C913" s="513"/>
      <c r="D913" s="513"/>
      <c r="E913" s="515"/>
      <c r="F913" s="515"/>
      <c r="G913" s="515"/>
      <c r="H913" s="515"/>
      <c r="I913" s="515"/>
      <c r="J913" s="515"/>
      <c r="K913" s="516"/>
      <c r="L913" s="517"/>
      <c r="M913" s="517"/>
      <c r="N913" s="517"/>
      <c r="O913" s="518"/>
      <c r="P913" s="518"/>
    </row>
    <row r="914" spans="1:16" ht="21.75" customHeight="1" x14ac:dyDescent="0.3">
      <c r="A914" s="513"/>
      <c r="B914" s="513"/>
      <c r="C914" s="513"/>
      <c r="D914" s="513"/>
      <c r="E914" s="515"/>
      <c r="F914" s="515"/>
      <c r="G914" s="515"/>
      <c r="H914" s="515"/>
      <c r="I914" s="515"/>
      <c r="J914" s="515"/>
      <c r="K914" s="516"/>
      <c r="L914" s="517"/>
      <c r="M914" s="517"/>
      <c r="N914" s="517"/>
      <c r="O914" s="518"/>
      <c r="P914" s="518"/>
    </row>
    <row r="915" spans="1:16" ht="21.75" customHeight="1" x14ac:dyDescent="0.3">
      <c r="A915" s="513"/>
      <c r="B915" s="513"/>
      <c r="C915" s="513"/>
      <c r="D915" s="513"/>
      <c r="E915" s="515"/>
      <c r="F915" s="515"/>
      <c r="G915" s="515"/>
      <c r="H915" s="515"/>
      <c r="I915" s="515"/>
      <c r="J915" s="515"/>
      <c r="K915" s="516"/>
      <c r="L915" s="517"/>
      <c r="M915" s="517"/>
      <c r="N915" s="517"/>
      <c r="O915" s="518"/>
      <c r="P915" s="518"/>
    </row>
    <row r="916" spans="1:16" ht="21.75" customHeight="1" x14ac:dyDescent="0.3">
      <c r="A916" s="513"/>
      <c r="B916" s="513"/>
      <c r="C916" s="513"/>
      <c r="D916" s="513"/>
      <c r="E916" s="515"/>
      <c r="F916" s="515"/>
      <c r="G916" s="515"/>
      <c r="H916" s="515"/>
      <c r="I916" s="515"/>
      <c r="J916" s="515"/>
      <c r="K916" s="516"/>
      <c r="L916" s="517"/>
      <c r="M916" s="517"/>
      <c r="N916" s="517"/>
      <c r="O916" s="518"/>
      <c r="P916" s="518"/>
    </row>
    <row r="917" spans="1:16" ht="21.75" customHeight="1" x14ac:dyDescent="0.3">
      <c r="A917" s="513"/>
      <c r="B917" s="513"/>
      <c r="C917" s="513"/>
      <c r="D917" s="513"/>
      <c r="E917" s="515"/>
      <c r="F917" s="515"/>
      <c r="G917" s="515"/>
      <c r="H917" s="515"/>
      <c r="I917" s="515"/>
      <c r="J917" s="515"/>
      <c r="K917" s="516"/>
      <c r="L917" s="517"/>
      <c r="M917" s="517"/>
      <c r="N917" s="517"/>
      <c r="O917" s="518"/>
      <c r="P917" s="518"/>
    </row>
    <row r="918" spans="1:16" ht="21.75" customHeight="1" x14ac:dyDescent="0.3">
      <c r="A918" s="513"/>
      <c r="B918" s="513"/>
      <c r="C918" s="513"/>
      <c r="D918" s="513"/>
      <c r="E918" s="515"/>
      <c r="F918" s="515"/>
      <c r="G918" s="515"/>
      <c r="H918" s="515"/>
      <c r="I918" s="515"/>
      <c r="J918" s="515"/>
      <c r="K918" s="516"/>
      <c r="L918" s="517"/>
      <c r="M918" s="517"/>
      <c r="N918" s="517"/>
      <c r="O918" s="518"/>
      <c r="P918" s="518"/>
    </row>
    <row r="919" spans="1:16" ht="21.75" customHeight="1" x14ac:dyDescent="0.3">
      <c r="A919" s="513"/>
      <c r="B919" s="513"/>
      <c r="C919" s="513"/>
      <c r="D919" s="513"/>
      <c r="E919" s="515"/>
      <c r="F919" s="515"/>
      <c r="G919" s="515"/>
      <c r="H919" s="515"/>
      <c r="I919" s="515"/>
      <c r="J919" s="515"/>
      <c r="K919" s="516"/>
      <c r="L919" s="517"/>
      <c r="M919" s="517"/>
      <c r="N919" s="517"/>
      <c r="O919" s="518"/>
      <c r="P919" s="518"/>
    </row>
    <row r="920" spans="1:16" ht="21.75" customHeight="1" x14ac:dyDescent="0.3">
      <c r="A920" s="513"/>
      <c r="B920" s="513"/>
      <c r="C920" s="513"/>
      <c r="D920" s="513"/>
      <c r="E920" s="515"/>
      <c r="F920" s="515"/>
      <c r="G920" s="515"/>
      <c r="H920" s="515"/>
      <c r="I920" s="515"/>
      <c r="J920" s="515"/>
      <c r="K920" s="516"/>
      <c r="L920" s="517"/>
      <c r="M920" s="517"/>
      <c r="N920" s="517"/>
      <c r="O920" s="518"/>
      <c r="P920" s="518"/>
    </row>
    <row r="921" spans="1:16" ht="21.75" customHeight="1" x14ac:dyDescent="0.3">
      <c r="A921" s="513"/>
      <c r="B921" s="513"/>
      <c r="C921" s="513"/>
      <c r="D921" s="513"/>
      <c r="E921" s="515"/>
      <c r="F921" s="515"/>
      <c r="G921" s="515"/>
      <c r="H921" s="515"/>
      <c r="I921" s="515"/>
      <c r="J921" s="515"/>
      <c r="K921" s="516"/>
      <c r="L921" s="517"/>
      <c r="M921" s="517"/>
      <c r="N921" s="517"/>
      <c r="O921" s="518"/>
      <c r="P921" s="518"/>
    </row>
    <row r="922" spans="1:16" ht="21.75" customHeight="1" x14ac:dyDescent="0.3">
      <c r="A922" s="513"/>
      <c r="B922" s="513"/>
      <c r="C922" s="513"/>
      <c r="D922" s="513"/>
      <c r="E922" s="515"/>
      <c r="F922" s="515"/>
      <c r="G922" s="515"/>
      <c r="H922" s="515"/>
      <c r="I922" s="515"/>
      <c r="J922" s="515"/>
      <c r="K922" s="516"/>
      <c r="L922" s="517"/>
      <c r="M922" s="517"/>
      <c r="N922" s="517"/>
      <c r="O922" s="518"/>
      <c r="P922" s="518"/>
    </row>
    <row r="923" spans="1:16" ht="21.75" customHeight="1" x14ac:dyDescent="0.3">
      <c r="A923" s="513"/>
      <c r="B923" s="513"/>
      <c r="C923" s="513"/>
      <c r="D923" s="513"/>
      <c r="E923" s="515"/>
      <c r="F923" s="515"/>
      <c r="G923" s="515"/>
      <c r="H923" s="515"/>
      <c r="I923" s="515"/>
      <c r="J923" s="515"/>
      <c r="K923" s="516"/>
      <c r="L923" s="517"/>
      <c r="M923" s="517"/>
      <c r="N923" s="517"/>
      <c r="O923" s="518"/>
      <c r="P923" s="518"/>
    </row>
    <row r="924" spans="1:16" ht="21.75" customHeight="1" x14ac:dyDescent="0.3">
      <c r="A924" s="513"/>
      <c r="B924" s="513"/>
      <c r="C924" s="513"/>
      <c r="D924" s="513"/>
      <c r="E924" s="515"/>
      <c r="F924" s="515"/>
      <c r="G924" s="515"/>
      <c r="H924" s="515"/>
      <c r="I924" s="515"/>
      <c r="J924" s="515"/>
      <c r="K924" s="516"/>
      <c r="L924" s="517"/>
      <c r="M924" s="517"/>
      <c r="N924" s="517"/>
      <c r="O924" s="518"/>
      <c r="P924" s="518"/>
    </row>
    <row r="925" spans="1:16" ht="21.75" customHeight="1" x14ac:dyDescent="0.3">
      <c r="A925" s="513"/>
      <c r="B925" s="513"/>
      <c r="C925" s="513"/>
      <c r="D925" s="513"/>
      <c r="E925" s="515"/>
      <c r="F925" s="515"/>
      <c r="G925" s="515"/>
      <c r="H925" s="515"/>
      <c r="I925" s="515"/>
      <c r="J925" s="515"/>
      <c r="K925" s="516"/>
      <c r="L925" s="517"/>
      <c r="M925" s="517"/>
      <c r="N925" s="517"/>
      <c r="O925" s="518"/>
      <c r="P925" s="518"/>
    </row>
    <row r="926" spans="1:16" ht="21.75" customHeight="1" x14ac:dyDescent="0.3">
      <c r="A926" s="513"/>
      <c r="B926" s="513"/>
      <c r="C926" s="513"/>
      <c r="D926" s="513"/>
      <c r="E926" s="515"/>
      <c r="F926" s="515"/>
      <c r="G926" s="515"/>
      <c r="H926" s="515"/>
      <c r="I926" s="515"/>
      <c r="J926" s="515"/>
      <c r="K926" s="516"/>
      <c r="L926" s="517"/>
      <c r="M926" s="517"/>
      <c r="N926" s="517"/>
      <c r="O926" s="518"/>
      <c r="P926" s="518"/>
    </row>
    <row r="927" spans="1:16" ht="21.75" customHeight="1" x14ac:dyDescent="0.3">
      <c r="A927" s="513"/>
      <c r="B927" s="513"/>
      <c r="C927" s="513"/>
      <c r="D927" s="513"/>
      <c r="E927" s="515"/>
      <c r="F927" s="515"/>
      <c r="G927" s="515"/>
      <c r="H927" s="515"/>
      <c r="I927" s="515"/>
      <c r="J927" s="515"/>
      <c r="K927" s="516"/>
      <c r="L927" s="517"/>
      <c r="M927" s="517"/>
      <c r="N927" s="517"/>
      <c r="O927" s="518"/>
      <c r="P927" s="518"/>
    </row>
    <row r="928" spans="1:16" ht="21.75" customHeight="1" x14ac:dyDescent="0.3">
      <c r="A928" s="513"/>
      <c r="B928" s="513"/>
      <c r="C928" s="513"/>
      <c r="D928" s="513"/>
      <c r="E928" s="515"/>
      <c r="F928" s="515"/>
      <c r="G928" s="515"/>
      <c r="H928" s="515"/>
      <c r="I928" s="515"/>
      <c r="J928" s="515"/>
      <c r="K928" s="516"/>
      <c r="L928" s="517"/>
      <c r="M928" s="517"/>
      <c r="N928" s="517"/>
      <c r="O928" s="518"/>
      <c r="P928" s="518"/>
    </row>
    <row r="929" spans="1:16" ht="21.75" customHeight="1" x14ac:dyDescent="0.3">
      <c r="A929" s="513"/>
      <c r="B929" s="513"/>
      <c r="C929" s="513"/>
      <c r="D929" s="513"/>
      <c r="E929" s="515"/>
      <c r="F929" s="515"/>
      <c r="G929" s="515"/>
      <c r="H929" s="515"/>
      <c r="I929" s="515"/>
      <c r="J929" s="515"/>
      <c r="K929" s="516"/>
      <c r="L929" s="517"/>
      <c r="M929" s="517"/>
      <c r="N929" s="517"/>
      <c r="O929" s="518"/>
      <c r="P929" s="518"/>
    </row>
    <row r="930" spans="1:16" ht="21.75" customHeight="1" x14ac:dyDescent="0.3">
      <c r="A930" s="513"/>
      <c r="B930" s="513"/>
      <c r="C930" s="513"/>
      <c r="D930" s="513"/>
      <c r="E930" s="515"/>
      <c r="F930" s="515"/>
      <c r="G930" s="515"/>
      <c r="H930" s="515"/>
      <c r="I930" s="515"/>
      <c r="J930" s="515"/>
      <c r="K930" s="516"/>
      <c r="L930" s="517"/>
      <c r="M930" s="517"/>
      <c r="N930" s="517"/>
      <c r="O930" s="518"/>
      <c r="P930" s="518"/>
    </row>
    <row r="931" spans="1:16" ht="21.75" customHeight="1" x14ac:dyDescent="0.3">
      <c r="A931" s="513"/>
      <c r="B931" s="513"/>
      <c r="C931" s="513"/>
      <c r="D931" s="513"/>
      <c r="E931" s="515"/>
      <c r="F931" s="515"/>
      <c r="G931" s="515"/>
      <c r="H931" s="515"/>
      <c r="I931" s="515"/>
      <c r="J931" s="515"/>
      <c r="K931" s="516"/>
      <c r="L931" s="517"/>
      <c r="M931" s="517"/>
      <c r="N931" s="517"/>
      <c r="O931" s="518"/>
      <c r="P931" s="518"/>
    </row>
    <row r="932" spans="1:16" ht="21.75" customHeight="1" x14ac:dyDescent="0.3">
      <c r="A932" s="513"/>
      <c r="B932" s="513"/>
      <c r="C932" s="513"/>
      <c r="D932" s="513"/>
      <c r="E932" s="515"/>
      <c r="F932" s="515"/>
      <c r="G932" s="515"/>
      <c r="H932" s="515"/>
      <c r="I932" s="515"/>
      <c r="J932" s="515"/>
      <c r="K932" s="516"/>
      <c r="L932" s="517"/>
      <c r="M932" s="517"/>
      <c r="N932" s="517"/>
      <c r="O932" s="518"/>
      <c r="P932" s="518"/>
    </row>
    <row r="933" spans="1:16" ht="21.75" customHeight="1" x14ac:dyDescent="0.3">
      <c r="A933" s="513"/>
      <c r="B933" s="513"/>
      <c r="C933" s="513"/>
      <c r="D933" s="513"/>
      <c r="E933" s="515"/>
      <c r="F933" s="515"/>
      <c r="G933" s="515"/>
      <c r="H933" s="515"/>
      <c r="I933" s="515"/>
      <c r="J933" s="515"/>
      <c r="K933" s="516"/>
      <c r="L933" s="517"/>
      <c r="M933" s="517"/>
      <c r="N933" s="517"/>
      <c r="O933" s="518"/>
      <c r="P933" s="518"/>
    </row>
    <row r="934" spans="1:16" ht="21.75" customHeight="1" x14ac:dyDescent="0.3">
      <c r="A934" s="513"/>
      <c r="B934" s="513"/>
      <c r="C934" s="513"/>
      <c r="D934" s="513"/>
      <c r="E934" s="515"/>
      <c r="F934" s="515"/>
      <c r="G934" s="515"/>
      <c r="H934" s="515"/>
      <c r="I934" s="515"/>
      <c r="J934" s="515"/>
      <c r="K934" s="516"/>
      <c r="L934" s="517"/>
      <c r="M934" s="517"/>
      <c r="N934" s="517"/>
      <c r="O934" s="518"/>
      <c r="P934" s="518"/>
    </row>
    <row r="935" spans="1:16" ht="21.75" customHeight="1" x14ac:dyDescent="0.3">
      <c r="A935" s="513"/>
      <c r="B935" s="513"/>
      <c r="C935" s="513"/>
      <c r="D935" s="513"/>
      <c r="E935" s="515"/>
      <c r="F935" s="515"/>
      <c r="G935" s="515"/>
      <c r="H935" s="515"/>
      <c r="I935" s="515"/>
      <c r="J935" s="515"/>
      <c r="K935" s="516"/>
      <c r="L935" s="517"/>
      <c r="M935" s="517"/>
      <c r="N935" s="517"/>
      <c r="O935" s="518"/>
      <c r="P935" s="518"/>
    </row>
    <row r="936" spans="1:16" ht="21.75" customHeight="1" x14ac:dyDescent="0.3">
      <c r="A936" s="513"/>
      <c r="B936" s="513"/>
      <c r="C936" s="513"/>
      <c r="D936" s="513"/>
      <c r="E936" s="515"/>
      <c r="F936" s="515"/>
      <c r="G936" s="515"/>
      <c r="H936" s="515"/>
      <c r="I936" s="515"/>
      <c r="J936" s="515"/>
      <c r="K936" s="516"/>
      <c r="L936" s="517"/>
      <c r="M936" s="517"/>
      <c r="N936" s="517"/>
      <c r="O936" s="518"/>
      <c r="P936" s="518"/>
    </row>
    <row r="937" spans="1:16" ht="21.75" customHeight="1" x14ac:dyDescent="0.3">
      <c r="A937" s="513"/>
      <c r="B937" s="513"/>
      <c r="C937" s="513"/>
      <c r="D937" s="513"/>
      <c r="E937" s="515"/>
      <c r="F937" s="515"/>
      <c r="G937" s="515"/>
      <c r="H937" s="515"/>
      <c r="I937" s="515"/>
      <c r="J937" s="515"/>
      <c r="K937" s="516"/>
      <c r="L937" s="517"/>
      <c r="M937" s="517"/>
      <c r="N937" s="517"/>
      <c r="O937" s="518"/>
      <c r="P937" s="518"/>
    </row>
    <row r="938" spans="1:16" ht="21.75" customHeight="1" x14ac:dyDescent="0.3">
      <c r="A938" s="513"/>
      <c r="B938" s="513"/>
      <c r="C938" s="513"/>
      <c r="D938" s="513"/>
      <c r="E938" s="515"/>
      <c r="F938" s="515"/>
      <c r="G938" s="515"/>
      <c r="H938" s="515"/>
      <c r="I938" s="515"/>
      <c r="J938" s="515"/>
      <c r="K938" s="516"/>
      <c r="L938" s="517"/>
      <c r="M938" s="517"/>
      <c r="N938" s="517"/>
      <c r="O938" s="518"/>
      <c r="P938" s="518"/>
    </row>
    <row r="939" spans="1:16" ht="21.75" customHeight="1" x14ac:dyDescent="0.3">
      <c r="A939" s="513"/>
      <c r="B939" s="513"/>
      <c r="C939" s="513"/>
      <c r="D939" s="513"/>
      <c r="E939" s="515"/>
      <c r="F939" s="515"/>
      <c r="G939" s="515"/>
      <c r="H939" s="515"/>
      <c r="I939" s="515"/>
      <c r="J939" s="515"/>
      <c r="K939" s="516"/>
      <c r="L939" s="517"/>
      <c r="M939" s="517"/>
      <c r="N939" s="517"/>
      <c r="O939" s="518"/>
      <c r="P939" s="518"/>
    </row>
    <row r="940" spans="1:16" ht="21.75" customHeight="1" x14ac:dyDescent="0.3">
      <c r="A940" s="513"/>
      <c r="B940" s="513"/>
      <c r="C940" s="513"/>
      <c r="D940" s="513"/>
      <c r="E940" s="515"/>
      <c r="F940" s="515"/>
      <c r="G940" s="515"/>
      <c r="H940" s="515"/>
      <c r="I940" s="515"/>
      <c r="J940" s="515"/>
      <c r="K940" s="516"/>
      <c r="L940" s="517"/>
      <c r="M940" s="517"/>
      <c r="N940" s="517"/>
      <c r="O940" s="518"/>
      <c r="P940" s="518"/>
    </row>
    <row r="941" spans="1:16" ht="21.75" customHeight="1" x14ac:dyDescent="0.3">
      <c r="A941" s="513"/>
      <c r="B941" s="513"/>
      <c r="C941" s="513"/>
      <c r="D941" s="513"/>
      <c r="E941" s="515"/>
      <c r="F941" s="515"/>
      <c r="G941" s="515"/>
      <c r="H941" s="515"/>
      <c r="I941" s="515"/>
      <c r="J941" s="515"/>
      <c r="K941" s="516"/>
      <c r="L941" s="517"/>
      <c r="M941" s="517"/>
      <c r="N941" s="517"/>
      <c r="O941" s="518"/>
      <c r="P941" s="518"/>
    </row>
    <row r="942" spans="1:16" ht="21.75" customHeight="1" x14ac:dyDescent="0.3">
      <c r="A942" s="513"/>
      <c r="B942" s="513"/>
      <c r="C942" s="513"/>
      <c r="D942" s="513"/>
      <c r="E942" s="515"/>
      <c r="F942" s="515"/>
      <c r="G942" s="515"/>
      <c r="H942" s="515"/>
      <c r="I942" s="515"/>
      <c r="J942" s="515"/>
      <c r="K942" s="516"/>
      <c r="L942" s="517"/>
      <c r="M942" s="517"/>
      <c r="N942" s="517"/>
      <c r="O942" s="518"/>
      <c r="P942" s="518"/>
    </row>
    <row r="943" spans="1:16" ht="21.75" customHeight="1" x14ac:dyDescent="0.3">
      <c r="A943" s="513"/>
      <c r="B943" s="513"/>
      <c r="C943" s="513"/>
      <c r="D943" s="513"/>
      <c r="E943" s="515"/>
      <c r="F943" s="515"/>
      <c r="G943" s="515"/>
      <c r="H943" s="515"/>
      <c r="I943" s="515"/>
      <c r="J943" s="515"/>
      <c r="K943" s="516"/>
      <c r="L943" s="517"/>
      <c r="M943" s="517"/>
      <c r="N943" s="517"/>
      <c r="O943" s="518"/>
      <c r="P943" s="518"/>
    </row>
    <row r="944" spans="1:16" ht="21.75" customHeight="1" x14ac:dyDescent="0.3">
      <c r="A944" s="513"/>
      <c r="B944" s="513"/>
      <c r="C944" s="513"/>
      <c r="D944" s="513"/>
      <c r="E944" s="515"/>
      <c r="F944" s="515"/>
      <c r="G944" s="515"/>
      <c r="H944" s="515"/>
      <c r="I944" s="515"/>
      <c r="J944" s="515"/>
      <c r="K944" s="516"/>
      <c r="L944" s="517"/>
      <c r="M944" s="517"/>
      <c r="N944" s="517"/>
      <c r="O944" s="518"/>
      <c r="P944" s="518"/>
    </row>
    <row r="945" spans="1:16" ht="21.75" customHeight="1" x14ac:dyDescent="0.3">
      <c r="A945" s="513"/>
      <c r="B945" s="513"/>
      <c r="C945" s="513"/>
      <c r="D945" s="513"/>
      <c r="E945" s="515"/>
      <c r="F945" s="515"/>
      <c r="G945" s="515"/>
      <c r="H945" s="515"/>
      <c r="I945" s="515"/>
      <c r="J945" s="515"/>
      <c r="K945" s="516"/>
      <c r="L945" s="517"/>
      <c r="M945" s="517"/>
      <c r="N945" s="517"/>
      <c r="O945" s="518"/>
      <c r="P945" s="518"/>
    </row>
    <row r="946" spans="1:16" ht="21.75" customHeight="1" x14ac:dyDescent="0.3">
      <c r="A946" s="513"/>
      <c r="B946" s="513"/>
      <c r="C946" s="513"/>
      <c r="D946" s="513"/>
      <c r="E946" s="515"/>
      <c r="F946" s="515"/>
      <c r="G946" s="515"/>
      <c r="H946" s="515"/>
      <c r="I946" s="515"/>
      <c r="J946" s="515"/>
      <c r="K946" s="516"/>
      <c r="L946" s="517"/>
      <c r="M946" s="517"/>
      <c r="N946" s="517"/>
      <c r="O946" s="518"/>
      <c r="P946" s="518"/>
    </row>
    <row r="947" spans="1:16" ht="21.75" customHeight="1" x14ac:dyDescent="0.3">
      <c r="A947" s="513"/>
      <c r="B947" s="513"/>
      <c r="C947" s="513"/>
      <c r="D947" s="513"/>
      <c r="E947" s="515"/>
      <c r="F947" s="515"/>
      <c r="G947" s="515"/>
      <c r="H947" s="515"/>
      <c r="I947" s="515"/>
      <c r="J947" s="515"/>
      <c r="K947" s="516"/>
      <c r="L947" s="517"/>
      <c r="M947" s="517"/>
      <c r="N947" s="517"/>
      <c r="O947" s="518"/>
      <c r="P947" s="518"/>
    </row>
    <row r="948" spans="1:16" ht="21.75" customHeight="1" x14ac:dyDescent="0.3">
      <c r="A948" s="513"/>
      <c r="B948" s="513"/>
      <c r="C948" s="513"/>
      <c r="D948" s="513"/>
      <c r="E948" s="515"/>
      <c r="F948" s="515"/>
      <c r="G948" s="515"/>
      <c r="H948" s="515"/>
      <c r="I948" s="515"/>
      <c r="J948" s="515"/>
      <c r="K948" s="516"/>
      <c r="L948" s="517"/>
      <c r="M948" s="517"/>
      <c r="N948" s="517"/>
      <c r="O948" s="518"/>
      <c r="P948" s="518"/>
    </row>
    <row r="949" spans="1:16" ht="21.75" customHeight="1" x14ac:dyDescent="0.3">
      <c r="A949" s="513"/>
      <c r="B949" s="513"/>
      <c r="C949" s="513"/>
      <c r="D949" s="513"/>
      <c r="E949" s="515"/>
      <c r="F949" s="515"/>
      <c r="G949" s="515"/>
      <c r="H949" s="515"/>
      <c r="I949" s="515"/>
      <c r="J949" s="515"/>
      <c r="K949" s="516"/>
      <c r="L949" s="517"/>
      <c r="M949" s="517"/>
      <c r="N949" s="517"/>
      <c r="O949" s="518"/>
      <c r="P949" s="518"/>
    </row>
    <row r="950" spans="1:16" ht="21.75" customHeight="1" x14ac:dyDescent="0.3">
      <c r="A950" s="513"/>
      <c r="B950" s="513"/>
      <c r="C950" s="513"/>
      <c r="D950" s="513"/>
      <c r="E950" s="515"/>
      <c r="F950" s="515"/>
      <c r="G950" s="515"/>
      <c r="H950" s="515"/>
      <c r="I950" s="515"/>
      <c r="J950" s="515"/>
      <c r="K950" s="516"/>
      <c r="L950" s="517"/>
      <c r="M950" s="517"/>
      <c r="N950" s="517"/>
      <c r="O950" s="518"/>
      <c r="P950" s="518"/>
    </row>
    <row r="951" spans="1:16" ht="21.75" customHeight="1" x14ac:dyDescent="0.3">
      <c r="A951" s="513"/>
      <c r="B951" s="513"/>
      <c r="C951" s="513"/>
      <c r="D951" s="513"/>
      <c r="E951" s="515"/>
      <c r="F951" s="515"/>
      <c r="G951" s="515"/>
      <c r="H951" s="515"/>
      <c r="I951" s="515"/>
      <c r="J951" s="515"/>
      <c r="K951" s="516"/>
      <c r="L951" s="517"/>
      <c r="M951" s="517"/>
      <c r="N951" s="517"/>
      <c r="O951" s="518"/>
      <c r="P951" s="518"/>
    </row>
    <row r="952" spans="1:16" ht="21.75" customHeight="1" x14ac:dyDescent="0.3">
      <c r="A952" s="513"/>
      <c r="B952" s="513"/>
      <c r="C952" s="513"/>
      <c r="D952" s="513"/>
      <c r="E952" s="515"/>
      <c r="F952" s="515"/>
      <c r="G952" s="515"/>
      <c r="H952" s="515"/>
      <c r="I952" s="515"/>
      <c r="J952" s="515"/>
      <c r="K952" s="516"/>
      <c r="L952" s="517"/>
      <c r="M952" s="517"/>
      <c r="N952" s="517"/>
      <c r="O952" s="518"/>
      <c r="P952" s="518"/>
    </row>
    <row r="953" spans="1:16" ht="21.75" customHeight="1" x14ac:dyDescent="0.3">
      <c r="A953" s="513"/>
      <c r="B953" s="513"/>
      <c r="C953" s="513"/>
      <c r="D953" s="513"/>
      <c r="E953" s="515"/>
      <c r="F953" s="515"/>
      <c r="G953" s="515"/>
      <c r="H953" s="515"/>
      <c r="I953" s="515"/>
      <c r="J953" s="515"/>
      <c r="K953" s="516"/>
      <c r="L953" s="517"/>
      <c r="M953" s="517"/>
      <c r="N953" s="517"/>
      <c r="O953" s="518"/>
      <c r="P953" s="518"/>
    </row>
    <row r="954" spans="1:16" ht="21.75" customHeight="1" x14ac:dyDescent="0.3">
      <c r="A954" s="513"/>
      <c r="B954" s="513"/>
      <c r="C954" s="513"/>
      <c r="D954" s="513"/>
      <c r="E954" s="515"/>
      <c r="F954" s="515"/>
      <c r="G954" s="515"/>
      <c r="H954" s="515"/>
      <c r="I954" s="515"/>
      <c r="J954" s="515"/>
      <c r="K954" s="516"/>
      <c r="L954" s="517"/>
      <c r="M954" s="517"/>
      <c r="N954" s="517"/>
      <c r="O954" s="518"/>
      <c r="P954" s="518"/>
    </row>
    <row r="955" spans="1:16" ht="21.75" customHeight="1" x14ac:dyDescent="0.3">
      <c r="A955" s="513"/>
      <c r="B955" s="513"/>
      <c r="C955" s="513"/>
      <c r="D955" s="513"/>
      <c r="E955" s="515"/>
      <c r="F955" s="515"/>
      <c r="G955" s="515"/>
      <c r="H955" s="515"/>
      <c r="I955" s="515"/>
      <c r="J955" s="515"/>
      <c r="K955" s="516"/>
      <c r="L955" s="517"/>
      <c r="M955" s="517"/>
      <c r="N955" s="517"/>
      <c r="O955" s="518"/>
      <c r="P955" s="518"/>
    </row>
    <row r="956" spans="1:16" ht="21.75" customHeight="1" x14ac:dyDescent="0.3">
      <c r="A956" s="513"/>
      <c r="B956" s="513"/>
      <c r="C956" s="513"/>
      <c r="D956" s="513"/>
      <c r="E956" s="515"/>
      <c r="F956" s="515"/>
      <c r="G956" s="515"/>
      <c r="H956" s="515"/>
      <c r="I956" s="515"/>
      <c r="J956" s="515"/>
      <c r="K956" s="516"/>
      <c r="L956" s="517"/>
      <c r="M956" s="517"/>
      <c r="N956" s="517"/>
      <c r="O956" s="518"/>
      <c r="P956" s="518"/>
    </row>
    <row r="957" spans="1:16" ht="21.75" customHeight="1" x14ac:dyDescent="0.3">
      <c r="A957" s="513"/>
      <c r="B957" s="513"/>
      <c r="C957" s="513"/>
      <c r="D957" s="513"/>
      <c r="E957" s="515"/>
      <c r="F957" s="515"/>
      <c r="G957" s="515"/>
      <c r="H957" s="515"/>
      <c r="I957" s="515"/>
      <c r="J957" s="515"/>
      <c r="K957" s="516"/>
      <c r="L957" s="517"/>
      <c r="M957" s="517"/>
      <c r="N957" s="517"/>
      <c r="O957" s="518"/>
      <c r="P957" s="518"/>
    </row>
    <row r="958" spans="1:16" ht="21.75" customHeight="1" x14ac:dyDescent="0.3">
      <c r="A958" s="513"/>
      <c r="B958" s="513"/>
      <c r="C958" s="513"/>
      <c r="D958" s="513"/>
      <c r="E958" s="515"/>
      <c r="F958" s="515"/>
      <c r="G958" s="515"/>
      <c r="H958" s="515"/>
      <c r="I958" s="515"/>
      <c r="J958" s="515"/>
      <c r="K958" s="516"/>
      <c r="L958" s="517"/>
      <c r="M958" s="517"/>
      <c r="N958" s="517"/>
      <c r="O958" s="518"/>
      <c r="P958" s="518"/>
    </row>
    <row r="959" spans="1:16" ht="21.75" customHeight="1" x14ac:dyDescent="0.3">
      <c r="A959" s="513"/>
      <c r="B959" s="513"/>
      <c r="C959" s="513"/>
      <c r="D959" s="513"/>
      <c r="E959" s="515"/>
      <c r="F959" s="515"/>
      <c r="G959" s="515"/>
      <c r="H959" s="515"/>
      <c r="I959" s="515"/>
      <c r="J959" s="515"/>
      <c r="K959" s="516"/>
      <c r="L959" s="517"/>
      <c r="M959" s="517"/>
      <c r="N959" s="517"/>
      <c r="O959" s="518"/>
      <c r="P959" s="518"/>
    </row>
    <row r="960" spans="1:16" ht="21.75" customHeight="1" x14ac:dyDescent="0.3">
      <c r="A960" s="513"/>
      <c r="B960" s="513"/>
      <c r="C960" s="513"/>
      <c r="D960" s="513"/>
      <c r="E960" s="515"/>
      <c r="F960" s="515"/>
      <c r="G960" s="515"/>
      <c r="H960" s="515"/>
      <c r="I960" s="515"/>
      <c r="J960" s="515"/>
      <c r="K960" s="516"/>
      <c r="L960" s="517"/>
      <c r="M960" s="517"/>
      <c r="N960" s="517"/>
      <c r="O960" s="518"/>
      <c r="P960" s="518"/>
    </row>
    <row r="961" spans="1:16" ht="21.75" customHeight="1" x14ac:dyDescent="0.3">
      <c r="A961" s="513"/>
      <c r="B961" s="513"/>
      <c r="C961" s="513"/>
      <c r="D961" s="513"/>
      <c r="E961" s="515"/>
      <c r="F961" s="515"/>
      <c r="G961" s="515"/>
      <c r="H961" s="515"/>
      <c r="I961" s="515"/>
      <c r="J961" s="515"/>
      <c r="K961" s="516"/>
      <c r="L961" s="517"/>
      <c r="M961" s="517"/>
      <c r="N961" s="517"/>
      <c r="O961" s="518"/>
      <c r="P961" s="518"/>
    </row>
    <row r="962" spans="1:16" ht="21.75" customHeight="1" x14ac:dyDescent="0.3">
      <c r="A962" s="513"/>
      <c r="B962" s="513"/>
      <c r="C962" s="513"/>
      <c r="D962" s="513"/>
      <c r="E962" s="515"/>
      <c r="F962" s="515"/>
      <c r="G962" s="515"/>
      <c r="H962" s="515"/>
      <c r="I962" s="515"/>
      <c r="J962" s="515"/>
      <c r="K962" s="516"/>
      <c r="L962" s="517"/>
      <c r="M962" s="517"/>
      <c r="N962" s="517"/>
      <c r="O962" s="518"/>
      <c r="P962" s="518"/>
    </row>
    <row r="963" spans="1:16" ht="21.75" customHeight="1" x14ac:dyDescent="0.3">
      <c r="A963" s="513"/>
      <c r="B963" s="513"/>
      <c r="C963" s="513"/>
      <c r="D963" s="513"/>
      <c r="E963" s="515"/>
      <c r="F963" s="515"/>
      <c r="G963" s="515"/>
      <c r="H963" s="515"/>
      <c r="I963" s="515"/>
      <c r="J963" s="515"/>
      <c r="K963" s="516"/>
      <c r="L963" s="517"/>
      <c r="M963" s="517"/>
      <c r="N963" s="517"/>
      <c r="O963" s="518"/>
      <c r="P963" s="518"/>
    </row>
    <row r="964" spans="1:16" ht="21.75" customHeight="1" x14ac:dyDescent="0.3">
      <c r="A964" s="513"/>
      <c r="B964" s="513"/>
      <c r="C964" s="513"/>
      <c r="D964" s="513"/>
      <c r="E964" s="515"/>
      <c r="F964" s="515"/>
      <c r="G964" s="515"/>
      <c r="H964" s="515"/>
      <c r="I964" s="515"/>
      <c r="J964" s="515"/>
      <c r="K964" s="516"/>
      <c r="L964" s="517"/>
      <c r="M964" s="517"/>
      <c r="N964" s="517"/>
      <c r="O964" s="518"/>
      <c r="P964" s="518"/>
    </row>
    <row r="965" spans="1:16" ht="21.75" customHeight="1" x14ac:dyDescent="0.3">
      <c r="A965" s="513"/>
      <c r="B965" s="513"/>
      <c r="C965" s="513"/>
      <c r="D965" s="513"/>
      <c r="E965" s="515"/>
      <c r="F965" s="515"/>
      <c r="G965" s="515"/>
      <c r="H965" s="515"/>
      <c r="I965" s="515"/>
      <c r="J965" s="515"/>
      <c r="K965" s="516"/>
      <c r="L965" s="517"/>
      <c r="M965" s="517"/>
      <c r="N965" s="517"/>
      <c r="O965" s="518"/>
      <c r="P965" s="518"/>
    </row>
    <row r="966" spans="1:16" ht="21.75" customHeight="1" x14ac:dyDescent="0.3">
      <c r="A966" s="513"/>
      <c r="B966" s="513"/>
      <c r="C966" s="513"/>
      <c r="D966" s="513"/>
      <c r="E966" s="515"/>
      <c r="F966" s="515"/>
      <c r="G966" s="515"/>
      <c r="H966" s="515"/>
      <c r="I966" s="515"/>
      <c r="J966" s="515"/>
      <c r="K966" s="516"/>
      <c r="L966" s="517"/>
      <c r="M966" s="517"/>
      <c r="N966" s="517"/>
      <c r="O966" s="518"/>
      <c r="P966" s="518"/>
    </row>
    <row r="967" spans="1:16" ht="21.75" customHeight="1" x14ac:dyDescent="0.3">
      <c r="A967" s="513"/>
      <c r="B967" s="513"/>
      <c r="C967" s="513"/>
      <c r="D967" s="513"/>
      <c r="E967" s="515"/>
      <c r="F967" s="515"/>
      <c r="G967" s="515"/>
      <c r="H967" s="515"/>
      <c r="I967" s="515"/>
      <c r="J967" s="515"/>
      <c r="K967" s="516"/>
      <c r="L967" s="517"/>
      <c r="M967" s="517"/>
      <c r="N967" s="517"/>
      <c r="O967" s="518"/>
      <c r="P967" s="518"/>
    </row>
    <row r="968" spans="1:16" ht="21.75" customHeight="1" x14ac:dyDescent="0.3">
      <c r="A968" s="513"/>
      <c r="B968" s="513"/>
      <c r="C968" s="513"/>
      <c r="D968" s="513"/>
      <c r="E968" s="515"/>
      <c r="F968" s="515"/>
      <c r="G968" s="515"/>
      <c r="H968" s="515"/>
      <c r="I968" s="515"/>
      <c r="J968" s="515"/>
      <c r="K968" s="516"/>
      <c r="L968" s="517"/>
      <c r="M968" s="517"/>
      <c r="N968" s="517"/>
      <c r="O968" s="518"/>
      <c r="P968" s="518"/>
    </row>
    <row r="969" spans="1:16" ht="21.75" customHeight="1" x14ac:dyDescent="0.3">
      <c r="A969" s="513"/>
      <c r="B969" s="513"/>
      <c r="C969" s="513"/>
      <c r="D969" s="513"/>
      <c r="E969" s="515"/>
      <c r="F969" s="515"/>
      <c r="G969" s="515"/>
      <c r="H969" s="515"/>
      <c r="I969" s="515"/>
      <c r="J969" s="515"/>
      <c r="K969" s="516"/>
      <c r="L969" s="517"/>
      <c r="M969" s="517"/>
      <c r="N969" s="517"/>
      <c r="O969" s="518"/>
      <c r="P969" s="518"/>
    </row>
    <row r="970" spans="1:16" ht="21.75" customHeight="1" x14ac:dyDescent="0.3">
      <c r="A970" s="513"/>
      <c r="B970" s="513"/>
      <c r="C970" s="513"/>
      <c r="D970" s="513"/>
      <c r="E970" s="515"/>
      <c r="F970" s="515"/>
      <c r="G970" s="515"/>
      <c r="H970" s="515"/>
      <c r="I970" s="515"/>
      <c r="J970" s="515"/>
      <c r="K970" s="516"/>
      <c r="L970" s="517"/>
      <c r="M970" s="517"/>
      <c r="N970" s="517"/>
      <c r="O970" s="518"/>
      <c r="P970" s="518"/>
    </row>
    <row r="971" spans="1:16" ht="21.75" customHeight="1" x14ac:dyDescent="0.3">
      <c r="A971" s="513"/>
      <c r="B971" s="513"/>
      <c r="C971" s="513"/>
      <c r="D971" s="513"/>
      <c r="E971" s="515"/>
      <c r="F971" s="515"/>
      <c r="G971" s="515"/>
      <c r="H971" s="515"/>
      <c r="I971" s="515"/>
      <c r="J971" s="515"/>
      <c r="K971" s="516"/>
      <c r="L971" s="517"/>
      <c r="M971" s="517"/>
      <c r="N971" s="517"/>
      <c r="O971" s="518"/>
      <c r="P971" s="518"/>
    </row>
    <row r="972" spans="1:16" ht="21.75" customHeight="1" x14ac:dyDescent="0.3">
      <c r="A972" s="513"/>
      <c r="B972" s="513"/>
      <c r="C972" s="513"/>
      <c r="D972" s="513"/>
      <c r="E972" s="515"/>
      <c r="F972" s="515"/>
      <c r="G972" s="515"/>
      <c r="H972" s="515"/>
      <c r="I972" s="515"/>
      <c r="J972" s="515"/>
      <c r="K972" s="516"/>
      <c r="L972" s="517"/>
      <c r="M972" s="517"/>
      <c r="N972" s="517"/>
      <c r="O972" s="518"/>
      <c r="P972" s="518"/>
    </row>
    <row r="973" spans="1:16" ht="21.75" customHeight="1" x14ac:dyDescent="0.3">
      <c r="A973" s="513"/>
      <c r="B973" s="513"/>
      <c r="C973" s="513"/>
      <c r="D973" s="513"/>
      <c r="E973" s="515"/>
      <c r="F973" s="515"/>
      <c r="G973" s="515"/>
      <c r="H973" s="515"/>
      <c r="I973" s="515"/>
      <c r="J973" s="515"/>
      <c r="K973" s="516"/>
      <c r="L973" s="517"/>
      <c r="M973" s="517"/>
      <c r="N973" s="517"/>
      <c r="O973" s="518"/>
      <c r="P973" s="518"/>
    </row>
    <row r="974" spans="1:16" ht="21.75" customHeight="1" x14ac:dyDescent="0.3">
      <c r="A974" s="513"/>
      <c r="B974" s="513"/>
      <c r="C974" s="513"/>
      <c r="D974" s="513"/>
      <c r="E974" s="515"/>
      <c r="F974" s="515"/>
      <c r="G974" s="515"/>
      <c r="H974" s="515"/>
      <c r="I974" s="515"/>
      <c r="J974" s="515"/>
      <c r="K974" s="516"/>
      <c r="L974" s="517"/>
      <c r="M974" s="517"/>
      <c r="N974" s="517"/>
      <c r="O974" s="518"/>
      <c r="P974" s="518"/>
    </row>
    <row r="975" spans="1:16" ht="21.75" customHeight="1" x14ac:dyDescent="0.3">
      <c r="A975" s="513"/>
      <c r="B975" s="513"/>
      <c r="C975" s="513"/>
      <c r="D975" s="513"/>
      <c r="E975" s="515"/>
      <c r="F975" s="515"/>
      <c r="G975" s="515"/>
      <c r="H975" s="515"/>
      <c r="I975" s="515"/>
      <c r="J975" s="515"/>
      <c r="K975" s="516"/>
      <c r="L975" s="517"/>
      <c r="M975" s="517"/>
      <c r="N975" s="517"/>
      <c r="O975" s="518"/>
      <c r="P975" s="518"/>
    </row>
    <row r="976" spans="1:16" ht="21.75" customHeight="1" x14ac:dyDescent="0.3">
      <c r="A976" s="513"/>
      <c r="B976" s="513"/>
      <c r="C976" s="513"/>
      <c r="D976" s="513"/>
      <c r="E976" s="515"/>
      <c r="F976" s="515"/>
      <c r="G976" s="515"/>
      <c r="H976" s="515"/>
      <c r="I976" s="515"/>
      <c r="J976" s="515"/>
      <c r="K976" s="516"/>
      <c r="L976" s="517"/>
      <c r="M976" s="517"/>
      <c r="N976" s="517"/>
      <c r="O976" s="518"/>
      <c r="P976" s="518"/>
    </row>
    <row r="977" spans="1:16" ht="21.75" customHeight="1" x14ac:dyDescent="0.3">
      <c r="A977" s="513"/>
      <c r="B977" s="513"/>
      <c r="C977" s="513"/>
      <c r="D977" s="513"/>
      <c r="E977" s="515"/>
      <c r="F977" s="515"/>
      <c r="G977" s="515"/>
      <c r="H977" s="515"/>
      <c r="I977" s="515"/>
      <c r="J977" s="515"/>
      <c r="K977" s="516"/>
      <c r="L977" s="517"/>
      <c r="M977" s="517"/>
      <c r="N977" s="517"/>
      <c r="O977" s="518"/>
      <c r="P977" s="518"/>
    </row>
    <row r="978" spans="1:16" ht="21.75" customHeight="1" x14ac:dyDescent="0.3">
      <c r="A978" s="513"/>
      <c r="B978" s="513"/>
      <c r="C978" s="513"/>
      <c r="D978" s="513"/>
      <c r="E978" s="515"/>
      <c r="F978" s="515"/>
      <c r="G978" s="515"/>
      <c r="H978" s="515"/>
      <c r="I978" s="515"/>
      <c r="J978" s="515"/>
      <c r="K978" s="516"/>
      <c r="L978" s="517"/>
      <c r="M978" s="517"/>
      <c r="N978" s="517"/>
      <c r="O978" s="518"/>
      <c r="P978" s="518"/>
    </row>
    <row r="979" spans="1:16" ht="21.75" customHeight="1" x14ac:dyDescent="0.3">
      <c r="A979" s="513"/>
      <c r="B979" s="513"/>
      <c r="C979" s="513"/>
      <c r="D979" s="513"/>
      <c r="E979" s="515"/>
      <c r="F979" s="515"/>
      <c r="G979" s="515"/>
      <c r="H979" s="515"/>
      <c r="I979" s="515"/>
      <c r="J979" s="515"/>
      <c r="K979" s="516"/>
      <c r="L979" s="517"/>
      <c r="M979" s="517"/>
      <c r="N979" s="517"/>
      <c r="O979" s="518"/>
      <c r="P979" s="518"/>
    </row>
    <row r="980" spans="1:16" ht="21.75" customHeight="1" x14ac:dyDescent="0.3">
      <c r="A980" s="513"/>
      <c r="B980" s="513"/>
      <c r="C980" s="513"/>
      <c r="D980" s="513"/>
      <c r="E980" s="515"/>
      <c r="F980" s="515"/>
      <c r="G980" s="515"/>
      <c r="H980" s="515"/>
      <c r="I980" s="515"/>
      <c r="J980" s="515"/>
      <c r="K980" s="516"/>
      <c r="L980" s="517"/>
      <c r="M980" s="517"/>
      <c r="N980" s="517"/>
      <c r="O980" s="518"/>
      <c r="P980" s="518"/>
    </row>
    <row r="981" spans="1:16" ht="21.75" customHeight="1" x14ac:dyDescent="0.3">
      <c r="A981" s="513"/>
      <c r="B981" s="513"/>
      <c r="C981" s="513"/>
      <c r="D981" s="513"/>
      <c r="E981" s="515"/>
      <c r="F981" s="515"/>
      <c r="G981" s="515"/>
      <c r="H981" s="515"/>
      <c r="I981" s="515"/>
      <c r="J981" s="515"/>
      <c r="K981" s="516"/>
      <c r="L981" s="517"/>
      <c r="M981" s="517"/>
      <c r="N981" s="517"/>
      <c r="O981" s="518"/>
      <c r="P981" s="518"/>
    </row>
    <row r="982" spans="1:16" ht="21.75" customHeight="1" x14ac:dyDescent="0.3">
      <c r="A982" s="513"/>
      <c r="B982" s="513"/>
      <c r="C982" s="513"/>
      <c r="D982" s="513"/>
      <c r="E982" s="515"/>
      <c r="F982" s="515"/>
      <c r="G982" s="515"/>
      <c r="H982" s="515"/>
      <c r="I982" s="515"/>
      <c r="J982" s="515"/>
      <c r="K982" s="516"/>
      <c r="L982" s="517"/>
      <c r="M982" s="517"/>
      <c r="N982" s="517"/>
      <c r="O982" s="518"/>
      <c r="P982" s="518"/>
    </row>
    <row r="983" spans="1:16" ht="21.75" customHeight="1" x14ac:dyDescent="0.3">
      <c r="A983" s="513"/>
      <c r="B983" s="513"/>
      <c r="C983" s="513"/>
      <c r="D983" s="513"/>
      <c r="E983" s="515"/>
      <c r="F983" s="515"/>
      <c r="G983" s="515"/>
      <c r="H983" s="515"/>
      <c r="I983" s="515"/>
      <c r="J983" s="515"/>
      <c r="K983" s="516"/>
      <c r="L983" s="517"/>
      <c r="M983" s="517"/>
      <c r="N983" s="517"/>
      <c r="O983" s="518"/>
      <c r="P983" s="518"/>
    </row>
    <row r="984" spans="1:16" ht="21.75" customHeight="1" x14ac:dyDescent="0.3">
      <c r="A984" s="513"/>
      <c r="B984" s="513"/>
      <c r="C984" s="513"/>
      <c r="D984" s="513"/>
      <c r="E984" s="515"/>
      <c r="F984" s="515"/>
      <c r="G984" s="515"/>
      <c r="H984" s="515"/>
      <c r="I984" s="515"/>
      <c r="J984" s="515"/>
      <c r="K984" s="516"/>
      <c r="L984" s="517"/>
      <c r="M984" s="517"/>
      <c r="N984" s="517"/>
      <c r="O984" s="518"/>
      <c r="P984" s="518"/>
    </row>
    <row r="985" spans="1:16" ht="21.75" customHeight="1" x14ac:dyDescent="0.3">
      <c r="A985" s="513"/>
      <c r="B985" s="513"/>
      <c r="C985" s="513"/>
      <c r="D985" s="513"/>
      <c r="E985" s="515"/>
      <c r="F985" s="515"/>
      <c r="G985" s="515"/>
      <c r="H985" s="515"/>
      <c r="I985" s="515"/>
      <c r="J985" s="515"/>
      <c r="K985" s="516"/>
      <c r="L985" s="517"/>
      <c r="M985" s="517"/>
      <c r="N985" s="517"/>
      <c r="O985" s="518"/>
      <c r="P985" s="518"/>
    </row>
    <row r="986" spans="1:16" ht="21.75" customHeight="1" x14ac:dyDescent="0.3">
      <c r="A986" s="513"/>
      <c r="B986" s="513"/>
      <c r="C986" s="513"/>
      <c r="D986" s="513"/>
      <c r="E986" s="515"/>
      <c r="F986" s="515"/>
      <c r="G986" s="515"/>
      <c r="H986" s="515"/>
      <c r="I986" s="515"/>
      <c r="J986" s="515"/>
      <c r="K986" s="516"/>
      <c r="L986" s="517"/>
      <c r="M986" s="517"/>
      <c r="N986" s="517"/>
      <c r="O986" s="518"/>
      <c r="P986" s="518"/>
    </row>
    <row r="987" spans="1:16" ht="21.75" customHeight="1" x14ac:dyDescent="0.3">
      <c r="A987" s="513"/>
      <c r="B987" s="513"/>
      <c r="C987" s="513"/>
      <c r="D987" s="513"/>
      <c r="E987" s="515"/>
      <c r="F987" s="515"/>
      <c r="G987" s="515"/>
      <c r="H987" s="515"/>
      <c r="I987" s="515"/>
      <c r="J987" s="515"/>
      <c r="K987" s="516"/>
      <c r="L987" s="517"/>
      <c r="M987" s="517"/>
      <c r="N987" s="517"/>
      <c r="O987" s="518"/>
      <c r="P987" s="518"/>
    </row>
    <row r="988" spans="1:16" ht="21.75" customHeight="1" x14ac:dyDescent="0.3">
      <c r="A988" s="513"/>
      <c r="B988" s="513"/>
      <c r="C988" s="513"/>
      <c r="D988" s="513"/>
      <c r="E988" s="515"/>
      <c r="F988" s="515"/>
      <c r="G988" s="515"/>
      <c r="H988" s="515"/>
      <c r="I988" s="515"/>
      <c r="J988" s="515"/>
      <c r="K988" s="516"/>
      <c r="L988" s="517"/>
      <c r="M988" s="517"/>
      <c r="N988" s="517"/>
      <c r="O988" s="518"/>
      <c r="P988" s="518"/>
    </row>
    <row r="989" spans="1:16" ht="21.75" customHeight="1" x14ac:dyDescent="0.3">
      <c r="A989" s="513"/>
      <c r="B989" s="513"/>
      <c r="C989" s="513"/>
      <c r="D989" s="513"/>
      <c r="E989" s="515"/>
      <c r="F989" s="515"/>
      <c r="G989" s="515"/>
      <c r="H989" s="515"/>
      <c r="I989" s="515"/>
      <c r="J989" s="515"/>
      <c r="K989" s="516"/>
      <c r="L989" s="517"/>
      <c r="M989" s="517"/>
      <c r="N989" s="517"/>
      <c r="O989" s="518"/>
      <c r="P989" s="518"/>
    </row>
    <row r="990" spans="1:16" ht="21.75" customHeight="1" x14ac:dyDescent="0.3">
      <c r="A990" s="513"/>
      <c r="B990" s="513"/>
      <c r="C990" s="513"/>
      <c r="D990" s="513"/>
      <c r="E990" s="515"/>
      <c r="F990" s="515"/>
      <c r="G990" s="515"/>
      <c r="H990" s="515"/>
      <c r="I990" s="515"/>
      <c r="J990" s="515"/>
      <c r="K990" s="516"/>
      <c r="L990" s="517"/>
      <c r="M990" s="517"/>
      <c r="N990" s="517"/>
      <c r="O990" s="518"/>
      <c r="P990" s="518"/>
    </row>
    <row r="991" spans="1:16" ht="21.75" customHeight="1" x14ac:dyDescent="0.3">
      <c r="A991" s="513"/>
      <c r="B991" s="513"/>
      <c r="C991" s="513"/>
      <c r="D991" s="513"/>
      <c r="E991" s="515"/>
      <c r="F991" s="515"/>
      <c r="G991" s="515"/>
      <c r="H991" s="515"/>
      <c r="I991" s="515"/>
      <c r="J991" s="515"/>
      <c r="K991" s="516"/>
      <c r="L991" s="517"/>
      <c r="M991" s="517"/>
      <c r="N991" s="517"/>
      <c r="O991" s="518"/>
      <c r="P991" s="518"/>
    </row>
    <row r="992" spans="1:16" ht="21.75" customHeight="1" x14ac:dyDescent="0.3">
      <c r="A992" s="513"/>
      <c r="B992" s="513"/>
      <c r="C992" s="513"/>
      <c r="D992" s="513"/>
      <c r="E992" s="515"/>
      <c r="F992" s="515"/>
      <c r="G992" s="515"/>
      <c r="H992" s="515"/>
      <c r="I992" s="515"/>
      <c r="J992" s="515"/>
      <c r="K992" s="516"/>
      <c r="L992" s="517"/>
      <c r="M992" s="517"/>
      <c r="N992" s="517"/>
      <c r="O992" s="518"/>
      <c r="P992" s="518"/>
    </row>
    <row r="993" spans="1:16" ht="21.75" customHeight="1" x14ac:dyDescent="0.3">
      <c r="A993" s="513"/>
      <c r="B993" s="513"/>
      <c r="C993" s="513"/>
      <c r="D993" s="513"/>
      <c r="E993" s="515"/>
      <c r="F993" s="515"/>
      <c r="G993" s="515"/>
      <c r="H993" s="515"/>
      <c r="I993" s="515"/>
      <c r="J993" s="515"/>
      <c r="K993" s="516"/>
      <c r="L993" s="517"/>
      <c r="M993" s="517"/>
      <c r="N993" s="517"/>
      <c r="O993" s="518"/>
      <c r="P993" s="518"/>
    </row>
    <row r="994" spans="1:16" ht="21.75" customHeight="1" x14ac:dyDescent="0.3">
      <c r="A994" s="513"/>
      <c r="B994" s="513"/>
      <c r="C994" s="513"/>
      <c r="D994" s="513"/>
      <c r="E994" s="515"/>
      <c r="F994" s="515"/>
      <c r="G994" s="515"/>
      <c r="H994" s="515"/>
      <c r="I994" s="515"/>
      <c r="J994" s="515"/>
      <c r="K994" s="516"/>
      <c r="L994" s="517"/>
      <c r="M994" s="517"/>
      <c r="N994" s="517"/>
      <c r="O994" s="518"/>
      <c r="P994" s="518"/>
    </row>
    <row r="995" spans="1:16" ht="21.75" customHeight="1" x14ac:dyDescent="0.3">
      <c r="A995" s="513"/>
      <c r="B995" s="513"/>
      <c r="C995" s="513"/>
      <c r="D995" s="513"/>
      <c r="E995" s="515"/>
      <c r="F995" s="515"/>
      <c r="G995" s="515"/>
      <c r="H995" s="515"/>
      <c r="I995" s="515"/>
      <c r="J995" s="515"/>
      <c r="K995" s="516"/>
      <c r="L995" s="517"/>
      <c r="M995" s="517"/>
      <c r="N995" s="517"/>
      <c r="O995" s="518"/>
      <c r="P995" s="518"/>
    </row>
    <row r="996" spans="1:16" ht="21.75" customHeight="1" x14ac:dyDescent="0.3">
      <c r="A996" s="513"/>
      <c r="B996" s="513"/>
      <c r="C996" s="513"/>
      <c r="D996" s="513"/>
      <c r="E996" s="515"/>
      <c r="F996" s="515"/>
      <c r="G996" s="515"/>
      <c r="H996" s="515"/>
      <c r="I996" s="515"/>
      <c r="J996" s="515"/>
      <c r="K996" s="516"/>
      <c r="L996" s="517"/>
      <c r="M996" s="517"/>
      <c r="N996" s="517"/>
      <c r="O996" s="518"/>
      <c r="P996" s="518"/>
    </row>
    <row r="997" spans="1:16" ht="21.75" customHeight="1" x14ac:dyDescent="0.3">
      <c r="A997" s="513"/>
      <c r="B997" s="513"/>
      <c r="C997" s="513"/>
      <c r="D997" s="513"/>
      <c r="E997" s="515"/>
      <c r="F997" s="515"/>
      <c r="G997" s="515"/>
      <c r="H997" s="515"/>
      <c r="I997" s="515"/>
      <c r="J997" s="515"/>
      <c r="K997" s="516"/>
      <c r="L997" s="517"/>
      <c r="M997" s="517"/>
      <c r="N997" s="517"/>
      <c r="O997" s="518"/>
      <c r="P997" s="518"/>
    </row>
    <row r="998" spans="1:16" ht="21.75" customHeight="1" x14ac:dyDescent="0.3">
      <c r="A998" s="513"/>
      <c r="B998" s="513"/>
      <c r="C998" s="513"/>
      <c r="D998" s="513"/>
      <c r="E998" s="515"/>
      <c r="F998" s="515"/>
      <c r="G998" s="515"/>
      <c r="H998" s="515"/>
      <c r="I998" s="515"/>
      <c r="J998" s="515"/>
      <c r="K998" s="516"/>
      <c r="L998" s="517"/>
      <c r="M998" s="517"/>
      <c r="N998" s="517"/>
      <c r="O998" s="518"/>
      <c r="P998" s="518"/>
    </row>
    <row r="999" spans="1:16" ht="21.75" customHeight="1" x14ac:dyDescent="0.3">
      <c r="A999" s="513"/>
      <c r="B999" s="513"/>
      <c r="C999" s="513"/>
      <c r="D999" s="513"/>
      <c r="E999" s="515"/>
      <c r="F999" s="515"/>
      <c r="G999" s="515"/>
      <c r="H999" s="515"/>
      <c r="I999" s="515"/>
      <c r="J999" s="515"/>
      <c r="K999" s="516"/>
      <c r="L999" s="517"/>
      <c r="M999" s="517"/>
      <c r="N999" s="517"/>
      <c r="O999" s="518"/>
      <c r="P999" s="518"/>
    </row>
    <row r="1000" spans="1:16" ht="21.75" customHeight="1" x14ac:dyDescent="0.3">
      <c r="A1000" s="513"/>
      <c r="B1000" s="513"/>
      <c r="C1000" s="513"/>
      <c r="D1000" s="513"/>
      <c r="E1000" s="515"/>
      <c r="F1000" s="515"/>
      <c r="G1000" s="515"/>
      <c r="H1000" s="515"/>
      <c r="I1000" s="515"/>
      <c r="J1000" s="515"/>
      <c r="K1000" s="516"/>
      <c r="L1000" s="517"/>
      <c r="M1000" s="517"/>
      <c r="N1000" s="517"/>
      <c r="O1000" s="518"/>
      <c r="P1000" s="518"/>
    </row>
    <row r="1001" spans="1:16" ht="21.75" customHeight="1" x14ac:dyDescent="0.3">
      <c r="A1001" s="513"/>
      <c r="B1001" s="513"/>
      <c r="C1001" s="513"/>
      <c r="D1001" s="513"/>
      <c r="E1001" s="515"/>
      <c r="F1001" s="515"/>
      <c r="G1001" s="515"/>
      <c r="H1001" s="515"/>
      <c r="I1001" s="515"/>
      <c r="J1001" s="515"/>
      <c r="K1001" s="516"/>
      <c r="L1001" s="517"/>
      <c r="M1001" s="517"/>
      <c r="N1001" s="517"/>
      <c r="O1001" s="518"/>
      <c r="P1001" s="518"/>
    </row>
    <row r="1002" spans="1:16" ht="21.75" customHeight="1" x14ac:dyDescent="0.3">
      <c r="A1002" s="513"/>
      <c r="B1002" s="513"/>
      <c r="C1002" s="513"/>
      <c r="D1002" s="513"/>
      <c r="E1002" s="515"/>
      <c r="F1002" s="515"/>
      <c r="G1002" s="515"/>
      <c r="H1002" s="515"/>
      <c r="I1002" s="515"/>
      <c r="J1002" s="515"/>
      <c r="K1002" s="516"/>
      <c r="L1002" s="517"/>
      <c r="M1002" s="517"/>
      <c r="N1002" s="517"/>
      <c r="O1002" s="518"/>
      <c r="P1002" s="518"/>
    </row>
    <row r="1003" spans="1:16" ht="21.75" customHeight="1" x14ac:dyDescent="0.3">
      <c r="A1003" s="513"/>
      <c r="B1003" s="513"/>
      <c r="C1003" s="513"/>
      <c r="D1003" s="513"/>
      <c r="E1003" s="515"/>
      <c r="F1003" s="515"/>
      <c r="G1003" s="515"/>
      <c r="H1003" s="515"/>
      <c r="I1003" s="515"/>
      <c r="J1003" s="515"/>
      <c r="K1003" s="516"/>
      <c r="L1003" s="517"/>
      <c r="M1003" s="517"/>
      <c r="N1003" s="517"/>
      <c r="O1003" s="518"/>
      <c r="P1003" s="518"/>
    </row>
    <row r="1004" spans="1:16" ht="21.75" customHeight="1" x14ac:dyDescent="0.3">
      <c r="A1004" s="513"/>
      <c r="B1004" s="513"/>
      <c r="C1004" s="513"/>
      <c r="D1004" s="513"/>
      <c r="E1004" s="515"/>
      <c r="F1004" s="515"/>
      <c r="G1004" s="515"/>
      <c r="H1004" s="515"/>
      <c r="I1004" s="515"/>
      <c r="J1004" s="515"/>
      <c r="K1004" s="516"/>
      <c r="L1004" s="517"/>
      <c r="M1004" s="517"/>
      <c r="N1004" s="517"/>
      <c r="O1004" s="518"/>
      <c r="P1004" s="518"/>
    </row>
    <row r="1005" spans="1:16" ht="21.75" customHeight="1" x14ac:dyDescent="0.3">
      <c r="A1005" s="513"/>
      <c r="B1005" s="513"/>
      <c r="C1005" s="513"/>
      <c r="D1005" s="513"/>
      <c r="E1005" s="515"/>
      <c r="F1005" s="515"/>
      <c r="G1005" s="515"/>
      <c r="H1005" s="515"/>
      <c r="I1005" s="515"/>
      <c r="J1005" s="515"/>
      <c r="K1005" s="516"/>
      <c r="L1005" s="517"/>
      <c r="M1005" s="517"/>
      <c r="N1005" s="517"/>
      <c r="O1005" s="518"/>
      <c r="P1005" s="518"/>
    </row>
    <row r="1006" spans="1:16" ht="21.75" customHeight="1" x14ac:dyDescent="0.3">
      <c r="A1006" s="513"/>
      <c r="B1006" s="513"/>
      <c r="C1006" s="513"/>
      <c r="D1006" s="513"/>
      <c r="E1006" s="515"/>
      <c r="F1006" s="515"/>
      <c r="G1006" s="515"/>
      <c r="H1006" s="515"/>
      <c r="I1006" s="515"/>
      <c r="J1006" s="515"/>
      <c r="K1006" s="516"/>
      <c r="L1006" s="517"/>
      <c r="M1006" s="517"/>
      <c r="N1006" s="517"/>
      <c r="O1006" s="518"/>
      <c r="P1006" s="518"/>
    </row>
    <row r="1007" spans="1:16" ht="21.75" customHeight="1" x14ac:dyDescent="0.3">
      <c r="A1007" s="513"/>
      <c r="B1007" s="513"/>
      <c r="C1007" s="513"/>
      <c r="D1007" s="513"/>
      <c r="E1007" s="515"/>
      <c r="F1007" s="515"/>
      <c r="G1007" s="515"/>
      <c r="H1007" s="515"/>
      <c r="I1007" s="515"/>
      <c r="J1007" s="515"/>
      <c r="K1007" s="516"/>
      <c r="L1007" s="517"/>
      <c r="M1007" s="517"/>
      <c r="N1007" s="517"/>
      <c r="O1007" s="518"/>
      <c r="P1007" s="518"/>
    </row>
    <row r="1008" spans="1:16" ht="21.75" customHeight="1" x14ac:dyDescent="0.3">
      <c r="A1008" s="513"/>
      <c r="B1008" s="513"/>
      <c r="C1008" s="513"/>
      <c r="D1008" s="513"/>
      <c r="E1008" s="515"/>
      <c r="F1008" s="515"/>
      <c r="G1008" s="515"/>
      <c r="H1008" s="515"/>
      <c r="I1008" s="515"/>
      <c r="J1008" s="515"/>
      <c r="K1008" s="516"/>
      <c r="L1008" s="517"/>
      <c r="M1008" s="517"/>
      <c r="N1008" s="517"/>
      <c r="O1008" s="518"/>
      <c r="P1008" s="518"/>
    </row>
    <row r="1009" spans="1:16" ht="21.75" customHeight="1" x14ac:dyDescent="0.3">
      <c r="A1009" s="513"/>
      <c r="B1009" s="513"/>
      <c r="C1009" s="513"/>
      <c r="D1009" s="513"/>
      <c r="E1009" s="515"/>
      <c r="F1009" s="515"/>
      <c r="G1009" s="515"/>
      <c r="H1009" s="515"/>
      <c r="I1009" s="515"/>
      <c r="J1009" s="515"/>
      <c r="K1009" s="516"/>
      <c r="L1009" s="517"/>
      <c r="M1009" s="517"/>
      <c r="N1009" s="517"/>
      <c r="O1009" s="518"/>
      <c r="P1009" s="518"/>
    </row>
    <row r="1010" spans="1:16" ht="21.75" customHeight="1" x14ac:dyDescent="0.3">
      <c r="A1010" s="513"/>
      <c r="B1010" s="513"/>
      <c r="C1010" s="513"/>
      <c r="D1010" s="513"/>
      <c r="E1010" s="515"/>
      <c r="F1010" s="515"/>
      <c r="G1010" s="515"/>
      <c r="H1010" s="515"/>
      <c r="I1010" s="515"/>
      <c r="J1010" s="515"/>
      <c r="K1010" s="516"/>
      <c r="L1010" s="517"/>
      <c r="M1010" s="517"/>
      <c r="N1010" s="517"/>
      <c r="O1010" s="518"/>
      <c r="P1010" s="518"/>
    </row>
    <row r="1011" spans="1:16" ht="21.75" customHeight="1" x14ac:dyDescent="0.3">
      <c r="A1011" s="513"/>
      <c r="B1011" s="513"/>
      <c r="C1011" s="513"/>
      <c r="D1011" s="513"/>
      <c r="E1011" s="515"/>
      <c r="F1011" s="515"/>
      <c r="G1011" s="515"/>
      <c r="H1011" s="515"/>
      <c r="I1011" s="515"/>
      <c r="J1011" s="515"/>
      <c r="K1011" s="516"/>
      <c r="L1011" s="517"/>
      <c r="M1011" s="517"/>
      <c r="N1011" s="517"/>
      <c r="O1011" s="518"/>
      <c r="P1011" s="518"/>
    </row>
    <row r="1012" spans="1:16" ht="21.75" customHeight="1" x14ac:dyDescent="0.3">
      <c r="A1012" s="513"/>
      <c r="B1012" s="513"/>
      <c r="C1012" s="513"/>
      <c r="D1012" s="513"/>
      <c r="E1012" s="515"/>
      <c r="F1012" s="515"/>
      <c r="G1012" s="515"/>
      <c r="H1012" s="515"/>
      <c r="I1012" s="515"/>
      <c r="J1012" s="515"/>
      <c r="K1012" s="516"/>
      <c r="L1012" s="517"/>
      <c r="M1012" s="517"/>
      <c r="N1012" s="517"/>
      <c r="O1012" s="518"/>
      <c r="P1012" s="518"/>
    </row>
    <row r="1013" spans="1:16" ht="21.75" customHeight="1" x14ac:dyDescent="0.3">
      <c r="A1013" s="513"/>
      <c r="B1013" s="513"/>
      <c r="C1013" s="513"/>
      <c r="D1013" s="513"/>
      <c r="E1013" s="515"/>
      <c r="F1013" s="515"/>
      <c r="G1013" s="515"/>
      <c r="H1013" s="515"/>
      <c r="I1013" s="515"/>
      <c r="J1013" s="515"/>
      <c r="K1013" s="516"/>
      <c r="L1013" s="517"/>
      <c r="M1013" s="517"/>
      <c r="N1013" s="517"/>
      <c r="O1013" s="518"/>
      <c r="P1013" s="518"/>
    </row>
    <row r="1014" spans="1:16" ht="21.75" customHeight="1" x14ac:dyDescent="0.3">
      <c r="A1014" s="513"/>
      <c r="B1014" s="513"/>
      <c r="C1014" s="513"/>
      <c r="D1014" s="513"/>
      <c r="E1014" s="515"/>
      <c r="F1014" s="515"/>
      <c r="G1014" s="515"/>
      <c r="H1014" s="515"/>
      <c r="I1014" s="515"/>
      <c r="J1014" s="515"/>
      <c r="K1014" s="516"/>
      <c r="L1014" s="517"/>
      <c r="M1014" s="517"/>
      <c r="N1014" s="517"/>
      <c r="O1014" s="518"/>
      <c r="P1014" s="518"/>
    </row>
    <row r="1015" spans="1:16" ht="21.75" customHeight="1" x14ac:dyDescent="0.3">
      <c r="A1015" s="513"/>
      <c r="B1015" s="513"/>
      <c r="C1015" s="513"/>
      <c r="D1015" s="513"/>
      <c r="E1015" s="515"/>
      <c r="F1015" s="515"/>
      <c r="G1015" s="515"/>
      <c r="H1015" s="515"/>
      <c r="I1015" s="515"/>
      <c r="J1015" s="515"/>
      <c r="K1015" s="516"/>
      <c r="L1015" s="517"/>
      <c r="M1015" s="517"/>
      <c r="N1015" s="517"/>
      <c r="O1015" s="518"/>
      <c r="P1015" s="518"/>
    </row>
    <row r="1016" spans="1:16" ht="21.75" customHeight="1" x14ac:dyDescent="0.3">
      <c r="A1016" s="513"/>
      <c r="B1016" s="513"/>
      <c r="C1016" s="513"/>
      <c r="D1016" s="513"/>
      <c r="E1016" s="515"/>
      <c r="F1016" s="515"/>
      <c r="G1016" s="515"/>
      <c r="H1016" s="515"/>
      <c r="I1016" s="515"/>
      <c r="J1016" s="515"/>
      <c r="K1016" s="516"/>
      <c r="L1016" s="517"/>
      <c r="M1016" s="517"/>
      <c r="N1016" s="517"/>
      <c r="O1016" s="518"/>
      <c r="P1016" s="518"/>
    </row>
    <row r="1017" spans="1:16" ht="21.75" customHeight="1" x14ac:dyDescent="0.3">
      <c r="A1017" s="513"/>
      <c r="B1017" s="513"/>
      <c r="C1017" s="513"/>
      <c r="D1017" s="513"/>
      <c r="E1017" s="515"/>
      <c r="F1017" s="515"/>
      <c r="G1017" s="515"/>
      <c r="H1017" s="515"/>
      <c r="I1017" s="515"/>
      <c r="J1017" s="515"/>
      <c r="K1017" s="516"/>
      <c r="L1017" s="517"/>
      <c r="M1017" s="517"/>
      <c r="N1017" s="517"/>
      <c r="O1017" s="518"/>
      <c r="P1017" s="518"/>
    </row>
    <row r="1018" spans="1:16" ht="21.75" customHeight="1" x14ac:dyDescent="0.3">
      <c r="A1018" s="513"/>
      <c r="B1018" s="513"/>
      <c r="C1018" s="513"/>
      <c r="D1018" s="513"/>
      <c r="E1018" s="515"/>
      <c r="F1018" s="515"/>
      <c r="G1018" s="515"/>
      <c r="H1018" s="515"/>
      <c r="I1018" s="515"/>
      <c r="J1018" s="515"/>
      <c r="K1018" s="516"/>
      <c r="L1018" s="517"/>
      <c r="M1018" s="517"/>
      <c r="N1018" s="517"/>
      <c r="O1018" s="518"/>
      <c r="P1018" s="518"/>
    </row>
    <row r="1019" spans="1:16" ht="21.75" customHeight="1" x14ac:dyDescent="0.3">
      <c r="A1019" s="513"/>
      <c r="B1019" s="513"/>
      <c r="C1019" s="513"/>
      <c r="D1019" s="513"/>
      <c r="E1019" s="515"/>
      <c r="F1019" s="515"/>
      <c r="G1019" s="515"/>
      <c r="H1019" s="515"/>
      <c r="I1019" s="515"/>
      <c r="J1019" s="515"/>
      <c r="K1019" s="516"/>
      <c r="L1019" s="517"/>
      <c r="M1019" s="517"/>
      <c r="N1019" s="517"/>
      <c r="O1019" s="518"/>
      <c r="P1019" s="518"/>
    </row>
    <row r="1020" spans="1:16" ht="21.75" customHeight="1" x14ac:dyDescent="0.3">
      <c r="A1020" s="513"/>
      <c r="B1020" s="513"/>
      <c r="C1020" s="513"/>
      <c r="D1020" s="513"/>
      <c r="E1020" s="515"/>
      <c r="F1020" s="515"/>
      <c r="G1020" s="515"/>
      <c r="H1020" s="515"/>
      <c r="I1020" s="515"/>
      <c r="J1020" s="515"/>
      <c r="K1020" s="516"/>
      <c r="L1020" s="517"/>
      <c r="M1020" s="517"/>
      <c r="N1020" s="517"/>
      <c r="O1020" s="518"/>
      <c r="P1020" s="518"/>
    </row>
    <row r="1021" spans="1:16" ht="21.75" customHeight="1" x14ac:dyDescent="0.3">
      <c r="A1021" s="513"/>
      <c r="B1021" s="513"/>
      <c r="C1021" s="513"/>
      <c r="D1021" s="513"/>
      <c r="E1021" s="515"/>
      <c r="F1021" s="515"/>
      <c r="G1021" s="515"/>
      <c r="H1021" s="515"/>
      <c r="I1021" s="515"/>
      <c r="J1021" s="515"/>
      <c r="K1021" s="516"/>
      <c r="L1021" s="517"/>
      <c r="M1021" s="517"/>
      <c r="N1021" s="517"/>
      <c r="O1021" s="518"/>
      <c r="P1021" s="518"/>
    </row>
    <row r="1022" spans="1:16" ht="21.75" customHeight="1" x14ac:dyDescent="0.3">
      <c r="A1022" s="513"/>
      <c r="B1022" s="513"/>
      <c r="C1022" s="513"/>
      <c r="D1022" s="513"/>
      <c r="E1022" s="515"/>
      <c r="F1022" s="515"/>
      <c r="G1022" s="515"/>
      <c r="H1022" s="515"/>
      <c r="I1022" s="515"/>
      <c r="J1022" s="515"/>
      <c r="K1022" s="516"/>
      <c r="L1022" s="517"/>
      <c r="M1022" s="517"/>
      <c r="N1022" s="517"/>
      <c r="O1022" s="518"/>
      <c r="P1022" s="518"/>
    </row>
    <row r="1023" spans="1:16" ht="21.75" customHeight="1" x14ac:dyDescent="0.3">
      <c r="A1023" s="513"/>
      <c r="B1023" s="513"/>
      <c r="C1023" s="513"/>
      <c r="D1023" s="513"/>
      <c r="E1023" s="515"/>
      <c r="F1023" s="515"/>
      <c r="G1023" s="515"/>
      <c r="H1023" s="515"/>
      <c r="I1023" s="515"/>
      <c r="J1023" s="515"/>
      <c r="K1023" s="516"/>
      <c r="L1023" s="517"/>
      <c r="M1023" s="517"/>
      <c r="N1023" s="517"/>
      <c r="O1023" s="518"/>
      <c r="P1023" s="518"/>
    </row>
    <row r="1024" spans="1:16" ht="21.75" customHeight="1" x14ac:dyDescent="0.3">
      <c r="A1024" s="513"/>
      <c r="B1024" s="513"/>
      <c r="C1024" s="513"/>
      <c r="D1024" s="513"/>
      <c r="E1024" s="515"/>
      <c r="F1024" s="515"/>
      <c r="G1024" s="515"/>
      <c r="H1024" s="515"/>
      <c r="I1024" s="515"/>
      <c r="J1024" s="515"/>
      <c r="K1024" s="516"/>
      <c r="L1024" s="517"/>
      <c r="M1024" s="517"/>
      <c r="N1024" s="517"/>
      <c r="O1024" s="518"/>
      <c r="P1024" s="518"/>
    </row>
    <row r="1025" spans="1:16" ht="21.75" customHeight="1" x14ac:dyDescent="0.3">
      <c r="A1025" s="513"/>
      <c r="B1025" s="513"/>
      <c r="C1025" s="513"/>
      <c r="D1025" s="513"/>
      <c r="E1025" s="515"/>
      <c r="F1025" s="515"/>
      <c r="G1025" s="515"/>
      <c r="H1025" s="515"/>
      <c r="I1025" s="515"/>
      <c r="J1025" s="515"/>
      <c r="K1025" s="516"/>
      <c r="L1025" s="517"/>
      <c r="M1025" s="517"/>
      <c r="N1025" s="517"/>
      <c r="O1025" s="518"/>
      <c r="P1025" s="518"/>
    </row>
    <row r="1026" spans="1:16" ht="21.75" customHeight="1" x14ac:dyDescent="0.3">
      <c r="A1026" s="513"/>
      <c r="B1026" s="513"/>
      <c r="C1026" s="513"/>
      <c r="D1026" s="513"/>
      <c r="E1026" s="515"/>
      <c r="F1026" s="515"/>
      <c r="G1026" s="515"/>
      <c r="H1026" s="515"/>
      <c r="I1026" s="515"/>
      <c r="J1026" s="515"/>
      <c r="K1026" s="516"/>
      <c r="L1026" s="517"/>
      <c r="M1026" s="517"/>
      <c r="N1026" s="517"/>
      <c r="O1026" s="518"/>
      <c r="P1026" s="518"/>
    </row>
    <row r="1027" spans="1:16" ht="21.75" customHeight="1" x14ac:dyDescent="0.3">
      <c r="A1027" s="513"/>
      <c r="B1027" s="513"/>
      <c r="C1027" s="513"/>
      <c r="D1027" s="513"/>
      <c r="E1027" s="515"/>
      <c r="F1027" s="515"/>
      <c r="G1027" s="515"/>
      <c r="H1027" s="515"/>
      <c r="I1027" s="515"/>
      <c r="J1027" s="515"/>
      <c r="K1027" s="516"/>
      <c r="L1027" s="517"/>
      <c r="M1027" s="517"/>
      <c r="N1027" s="517"/>
      <c r="O1027" s="518"/>
      <c r="P1027" s="518"/>
    </row>
    <row r="1028" spans="1:16" ht="21.75" customHeight="1" x14ac:dyDescent="0.3">
      <c r="A1028" s="513"/>
      <c r="B1028" s="513"/>
      <c r="C1028" s="513"/>
      <c r="D1028" s="513"/>
      <c r="E1028" s="515"/>
      <c r="F1028" s="515"/>
      <c r="G1028" s="515"/>
      <c r="H1028" s="515"/>
      <c r="I1028" s="515"/>
      <c r="J1028" s="515"/>
      <c r="K1028" s="516"/>
      <c r="L1028" s="517"/>
      <c r="M1028" s="517"/>
      <c r="N1028" s="517"/>
      <c r="O1028" s="518"/>
      <c r="P1028" s="518"/>
    </row>
    <row r="1029" spans="1:16" ht="21.75" customHeight="1" x14ac:dyDescent="0.3">
      <c r="A1029" s="513"/>
      <c r="B1029" s="513"/>
      <c r="C1029" s="513"/>
      <c r="D1029" s="513"/>
      <c r="E1029" s="515"/>
      <c r="F1029" s="515"/>
      <c r="G1029" s="515"/>
      <c r="H1029" s="515"/>
      <c r="I1029" s="515"/>
      <c r="J1029" s="515"/>
      <c r="K1029" s="516"/>
      <c r="L1029" s="517"/>
      <c r="M1029" s="517"/>
      <c r="N1029" s="517"/>
      <c r="O1029" s="518"/>
      <c r="P1029" s="518"/>
    </row>
    <row r="1030" spans="1:16" ht="21.75" customHeight="1" x14ac:dyDescent="0.3">
      <c r="A1030" s="513"/>
      <c r="B1030" s="513"/>
      <c r="C1030" s="513"/>
      <c r="D1030" s="513"/>
      <c r="E1030" s="515"/>
      <c r="F1030" s="515"/>
      <c r="G1030" s="515"/>
      <c r="H1030" s="515"/>
      <c r="I1030" s="515"/>
      <c r="J1030" s="515"/>
      <c r="K1030" s="516"/>
      <c r="L1030" s="517"/>
      <c r="M1030" s="517"/>
      <c r="N1030" s="517"/>
      <c r="O1030" s="518"/>
      <c r="P1030" s="518"/>
    </row>
    <row r="1031" spans="1:16" ht="21.75" customHeight="1" x14ac:dyDescent="0.3">
      <c r="A1031" s="513"/>
      <c r="B1031" s="513"/>
      <c r="C1031" s="513"/>
      <c r="D1031" s="513"/>
      <c r="E1031" s="515"/>
      <c r="F1031" s="515"/>
      <c r="G1031" s="515"/>
      <c r="H1031" s="515"/>
      <c r="I1031" s="515"/>
      <c r="J1031" s="515"/>
      <c r="K1031" s="516"/>
      <c r="L1031" s="517"/>
      <c r="M1031" s="517"/>
      <c r="N1031" s="517"/>
      <c r="O1031" s="518"/>
      <c r="P1031" s="518"/>
    </row>
    <row r="1032" spans="1:16" ht="21.75" customHeight="1" x14ac:dyDescent="0.3">
      <c r="A1032" s="513"/>
      <c r="B1032" s="513"/>
      <c r="C1032" s="513"/>
      <c r="D1032" s="513"/>
      <c r="E1032" s="515"/>
      <c r="F1032" s="515"/>
      <c r="G1032" s="515"/>
      <c r="H1032" s="515"/>
      <c r="I1032" s="515"/>
      <c r="J1032" s="515"/>
      <c r="K1032" s="516"/>
      <c r="L1032" s="517"/>
      <c r="M1032" s="517"/>
      <c r="N1032" s="517"/>
      <c r="O1032" s="518"/>
      <c r="P1032" s="518"/>
    </row>
    <row r="1033" spans="1:16" ht="21.75" customHeight="1" x14ac:dyDescent="0.3">
      <c r="A1033" s="513"/>
      <c r="B1033" s="513"/>
      <c r="C1033" s="513"/>
      <c r="D1033" s="513"/>
      <c r="E1033" s="515"/>
      <c r="F1033" s="515"/>
      <c r="G1033" s="515"/>
      <c r="H1033" s="515"/>
      <c r="I1033" s="515"/>
      <c r="J1033" s="515"/>
      <c r="K1033" s="516"/>
      <c r="L1033" s="517"/>
      <c r="M1033" s="517"/>
      <c r="N1033" s="517"/>
      <c r="O1033" s="518"/>
      <c r="P1033" s="518"/>
    </row>
    <row r="1034" spans="1:16" ht="21.75" customHeight="1" x14ac:dyDescent="0.3">
      <c r="A1034" s="513"/>
      <c r="B1034" s="513"/>
      <c r="C1034" s="513"/>
      <c r="D1034" s="513"/>
      <c r="E1034" s="515"/>
      <c r="F1034" s="515"/>
      <c r="G1034" s="515"/>
      <c r="H1034" s="515"/>
      <c r="I1034" s="515"/>
      <c r="J1034" s="515"/>
      <c r="K1034" s="516"/>
      <c r="L1034" s="517"/>
      <c r="M1034" s="517"/>
      <c r="N1034" s="517"/>
      <c r="O1034" s="518"/>
      <c r="P1034" s="518"/>
    </row>
    <row r="1035" spans="1:16" ht="21.75" customHeight="1" x14ac:dyDescent="0.3">
      <c r="A1035" s="513"/>
      <c r="B1035" s="513"/>
      <c r="C1035" s="513"/>
      <c r="D1035" s="513"/>
      <c r="E1035" s="515"/>
      <c r="F1035" s="515"/>
      <c r="G1035" s="515"/>
      <c r="H1035" s="515"/>
      <c r="I1035" s="515"/>
      <c r="J1035" s="515"/>
      <c r="K1035" s="516"/>
      <c r="L1035" s="517"/>
      <c r="M1035" s="517"/>
      <c r="N1035" s="517"/>
      <c r="O1035" s="518"/>
      <c r="P1035" s="518"/>
    </row>
    <row r="1036" spans="1:16" ht="21.75" customHeight="1" x14ac:dyDescent="0.3">
      <c r="A1036" s="513"/>
      <c r="B1036" s="513"/>
      <c r="C1036" s="513"/>
      <c r="D1036" s="513"/>
      <c r="E1036" s="515"/>
      <c r="F1036" s="515"/>
      <c r="G1036" s="515"/>
      <c r="H1036" s="515"/>
      <c r="I1036" s="515"/>
      <c r="J1036" s="515"/>
      <c r="K1036" s="516"/>
      <c r="L1036" s="517"/>
      <c r="M1036" s="517"/>
      <c r="N1036" s="517"/>
      <c r="O1036" s="518"/>
      <c r="P1036" s="518"/>
    </row>
    <row r="1037" spans="1:16" ht="21.75" customHeight="1" x14ac:dyDescent="0.3">
      <c r="A1037" s="513"/>
      <c r="B1037" s="513"/>
      <c r="C1037" s="513"/>
      <c r="D1037" s="513"/>
      <c r="E1037" s="515"/>
      <c r="F1037" s="515"/>
      <c r="G1037" s="515"/>
      <c r="H1037" s="515"/>
      <c r="I1037" s="515"/>
      <c r="J1037" s="515"/>
      <c r="K1037" s="516"/>
      <c r="L1037" s="517"/>
      <c r="M1037" s="517"/>
      <c r="N1037" s="517"/>
      <c r="O1037" s="518"/>
      <c r="P1037" s="518"/>
    </row>
    <row r="1038" spans="1:16" ht="21.75" customHeight="1" x14ac:dyDescent="0.3">
      <c r="A1038" s="513"/>
      <c r="B1038" s="513"/>
      <c r="C1038" s="513"/>
      <c r="D1038" s="513"/>
      <c r="E1038" s="515"/>
      <c r="F1038" s="515"/>
      <c r="G1038" s="515"/>
      <c r="H1038" s="515"/>
      <c r="I1038" s="515"/>
      <c r="J1038" s="515"/>
      <c r="K1038" s="516"/>
      <c r="L1038" s="517"/>
      <c r="M1038" s="517"/>
      <c r="N1038" s="517"/>
      <c r="O1038" s="518"/>
      <c r="P1038" s="518"/>
    </row>
    <row r="1039" spans="1:16" ht="21.75" customHeight="1" x14ac:dyDescent="0.3">
      <c r="A1039" s="513"/>
      <c r="B1039" s="513"/>
      <c r="C1039" s="513"/>
      <c r="D1039" s="513"/>
      <c r="E1039" s="515"/>
      <c r="F1039" s="515"/>
      <c r="G1039" s="515"/>
      <c r="H1039" s="515"/>
      <c r="I1039" s="515"/>
      <c r="J1039" s="515"/>
      <c r="K1039" s="516"/>
      <c r="L1039" s="517"/>
      <c r="M1039" s="517"/>
      <c r="N1039" s="517"/>
      <c r="O1039" s="518"/>
      <c r="P1039" s="518"/>
    </row>
    <row r="1040" spans="1:16" ht="21.75" customHeight="1" x14ac:dyDescent="0.3">
      <c r="A1040" s="513"/>
      <c r="B1040" s="513"/>
      <c r="C1040" s="513"/>
      <c r="D1040" s="513"/>
      <c r="E1040" s="515"/>
      <c r="F1040" s="515"/>
      <c r="G1040" s="515"/>
      <c r="H1040" s="515"/>
      <c r="I1040" s="515"/>
      <c r="J1040" s="515"/>
      <c r="K1040" s="516"/>
      <c r="L1040" s="517"/>
      <c r="M1040" s="517"/>
      <c r="N1040" s="517"/>
      <c r="O1040" s="518"/>
      <c r="P1040" s="518"/>
    </row>
    <row r="1041" spans="1:16" ht="21.75" customHeight="1" x14ac:dyDescent="0.3">
      <c r="A1041" s="513"/>
      <c r="B1041" s="513"/>
      <c r="C1041" s="513"/>
      <c r="D1041" s="513"/>
      <c r="E1041" s="515"/>
      <c r="F1041" s="515"/>
      <c r="G1041" s="515"/>
      <c r="H1041" s="515"/>
      <c r="I1041" s="515"/>
      <c r="J1041" s="515"/>
      <c r="K1041" s="516"/>
      <c r="L1041" s="517"/>
      <c r="M1041" s="517"/>
      <c r="N1041" s="517"/>
      <c r="O1041" s="518"/>
      <c r="P1041" s="518"/>
    </row>
    <row r="1042" spans="1:16" ht="21.75" customHeight="1" x14ac:dyDescent="0.3">
      <c r="A1042" s="513"/>
      <c r="B1042" s="513"/>
      <c r="C1042" s="513"/>
      <c r="D1042" s="513"/>
      <c r="E1042" s="515"/>
      <c r="F1042" s="515"/>
      <c r="G1042" s="515"/>
      <c r="H1042" s="515"/>
      <c r="I1042" s="515"/>
      <c r="J1042" s="515"/>
      <c r="K1042" s="516"/>
      <c r="L1042" s="517"/>
      <c r="M1042" s="517"/>
      <c r="N1042" s="517"/>
      <c r="O1042" s="518"/>
      <c r="P1042" s="518"/>
    </row>
    <row r="1043" spans="1:16" ht="21.75" customHeight="1" x14ac:dyDescent="0.3">
      <c r="A1043" s="513"/>
      <c r="B1043" s="513"/>
      <c r="C1043" s="513"/>
      <c r="D1043" s="513"/>
      <c r="E1043" s="515"/>
      <c r="F1043" s="515"/>
      <c r="G1043" s="515"/>
      <c r="H1043" s="515"/>
      <c r="I1043" s="515"/>
      <c r="J1043" s="515"/>
      <c r="K1043" s="516"/>
      <c r="L1043" s="517"/>
      <c r="M1043" s="517"/>
      <c r="N1043" s="517"/>
      <c r="O1043" s="518"/>
      <c r="P1043" s="518"/>
    </row>
    <row r="1044" spans="1:16" ht="21.75" customHeight="1" x14ac:dyDescent="0.3">
      <c r="A1044" s="513"/>
      <c r="B1044" s="513"/>
      <c r="C1044" s="513"/>
      <c r="D1044" s="513"/>
      <c r="E1044" s="515"/>
      <c r="F1044" s="515"/>
      <c r="G1044" s="515"/>
      <c r="H1044" s="515"/>
      <c r="I1044" s="515"/>
      <c r="J1044" s="515"/>
      <c r="K1044" s="516"/>
      <c r="L1044" s="517"/>
      <c r="M1044" s="517"/>
      <c r="N1044" s="517"/>
      <c r="O1044" s="518"/>
      <c r="P1044" s="518"/>
    </row>
    <row r="1045" spans="1:16" ht="21.75" customHeight="1" x14ac:dyDescent="0.3">
      <c r="A1045" s="513"/>
      <c r="B1045" s="513"/>
      <c r="C1045" s="513"/>
      <c r="D1045" s="513"/>
      <c r="E1045" s="515"/>
      <c r="F1045" s="515"/>
      <c r="G1045" s="515"/>
      <c r="H1045" s="515"/>
      <c r="I1045" s="515"/>
      <c r="J1045" s="515"/>
      <c r="K1045" s="516"/>
      <c r="L1045" s="517"/>
      <c r="M1045" s="517"/>
      <c r="N1045" s="517"/>
      <c r="O1045" s="518"/>
      <c r="P1045" s="518"/>
    </row>
    <row r="1046" spans="1:16" ht="21.75" customHeight="1" x14ac:dyDescent="0.3">
      <c r="A1046" s="513"/>
      <c r="B1046" s="513"/>
      <c r="C1046" s="513"/>
      <c r="D1046" s="513"/>
      <c r="E1046" s="515"/>
      <c r="F1046" s="515"/>
      <c r="G1046" s="515"/>
      <c r="H1046" s="515"/>
      <c r="I1046" s="515"/>
      <c r="J1046" s="515"/>
      <c r="K1046" s="516"/>
      <c r="L1046" s="517"/>
      <c r="M1046" s="517"/>
      <c r="N1046" s="517"/>
      <c r="O1046" s="518"/>
      <c r="P1046" s="518"/>
    </row>
    <row r="1047" spans="1:16" ht="21.75" customHeight="1" x14ac:dyDescent="0.3">
      <c r="A1047" s="513"/>
      <c r="B1047" s="513"/>
      <c r="C1047" s="513"/>
      <c r="D1047" s="513"/>
      <c r="E1047" s="515"/>
      <c r="F1047" s="515"/>
      <c r="G1047" s="515"/>
      <c r="H1047" s="515"/>
      <c r="I1047" s="515"/>
      <c r="J1047" s="515"/>
      <c r="K1047" s="516"/>
      <c r="L1047" s="517"/>
      <c r="M1047" s="517"/>
      <c r="N1047" s="517"/>
      <c r="O1047" s="518"/>
      <c r="P1047" s="518"/>
    </row>
    <row r="1048" spans="1:16" ht="21.75" customHeight="1" x14ac:dyDescent="0.3">
      <c r="A1048" s="513"/>
      <c r="B1048" s="513"/>
      <c r="C1048" s="513"/>
      <c r="D1048" s="513"/>
      <c r="E1048" s="515"/>
      <c r="F1048" s="515"/>
      <c r="G1048" s="515"/>
      <c r="H1048" s="515"/>
      <c r="I1048" s="515"/>
      <c r="J1048" s="515"/>
      <c r="K1048" s="516"/>
      <c r="L1048" s="517"/>
      <c r="M1048" s="517"/>
      <c r="N1048" s="517"/>
      <c r="O1048" s="518"/>
      <c r="P1048" s="518"/>
    </row>
    <row r="1049" spans="1:16" ht="21.75" customHeight="1" x14ac:dyDescent="0.3">
      <c r="A1049" s="513"/>
      <c r="B1049" s="513"/>
      <c r="C1049" s="513"/>
      <c r="D1049" s="513"/>
      <c r="E1049" s="515"/>
      <c r="F1049" s="515"/>
      <c r="G1049" s="515"/>
      <c r="H1049" s="515"/>
      <c r="I1049" s="515"/>
      <c r="J1049" s="515"/>
      <c r="K1049" s="516"/>
      <c r="L1049" s="517"/>
      <c r="M1049" s="517"/>
      <c r="N1049" s="517"/>
      <c r="O1049" s="518"/>
      <c r="P1049" s="518"/>
    </row>
    <row r="1050" spans="1:16" ht="21.75" customHeight="1" x14ac:dyDescent="0.3">
      <c r="A1050" s="513"/>
      <c r="B1050" s="513"/>
      <c r="C1050" s="513"/>
      <c r="D1050" s="513"/>
      <c r="E1050" s="515"/>
      <c r="F1050" s="515"/>
      <c r="G1050" s="515"/>
      <c r="H1050" s="515"/>
      <c r="I1050" s="515"/>
      <c r="J1050" s="515"/>
      <c r="K1050" s="516"/>
      <c r="L1050" s="517"/>
      <c r="M1050" s="517"/>
      <c r="N1050" s="517"/>
      <c r="O1050" s="518"/>
      <c r="P1050" s="518"/>
    </row>
    <row r="1051" spans="1:16" ht="21.75" customHeight="1" x14ac:dyDescent="0.3">
      <c r="A1051" s="513"/>
      <c r="B1051" s="513"/>
      <c r="C1051" s="513"/>
      <c r="D1051" s="513"/>
      <c r="E1051" s="515"/>
      <c r="F1051" s="515"/>
      <c r="G1051" s="515"/>
      <c r="H1051" s="515"/>
      <c r="I1051" s="515"/>
      <c r="J1051" s="515"/>
      <c r="K1051" s="516"/>
      <c r="L1051" s="517"/>
      <c r="M1051" s="517"/>
      <c r="N1051" s="517"/>
      <c r="O1051" s="518"/>
      <c r="P1051" s="518"/>
    </row>
    <row r="1052" spans="1:16" ht="21.75" customHeight="1" x14ac:dyDescent="0.3">
      <c r="A1052" s="513"/>
      <c r="B1052" s="513"/>
      <c r="C1052" s="513"/>
      <c r="D1052" s="513"/>
      <c r="E1052" s="515"/>
      <c r="F1052" s="515"/>
      <c r="G1052" s="515"/>
      <c r="H1052" s="515"/>
      <c r="I1052" s="515"/>
      <c r="J1052" s="515"/>
      <c r="K1052" s="516"/>
      <c r="L1052" s="517"/>
      <c r="M1052" s="517"/>
      <c r="N1052" s="517"/>
      <c r="O1052" s="518"/>
      <c r="P1052" s="518"/>
    </row>
    <row r="1053" spans="1:16" ht="21.75" customHeight="1" x14ac:dyDescent="0.3">
      <c r="A1053" s="513"/>
      <c r="B1053" s="513"/>
      <c r="C1053" s="513"/>
      <c r="D1053" s="513"/>
      <c r="E1053" s="515"/>
      <c r="F1053" s="515"/>
      <c r="G1053" s="515"/>
      <c r="H1053" s="515"/>
      <c r="I1053" s="515"/>
      <c r="J1053" s="515"/>
      <c r="K1053" s="516"/>
      <c r="L1053" s="517"/>
      <c r="M1053" s="517"/>
      <c r="N1053" s="517"/>
      <c r="O1053" s="518"/>
      <c r="P1053" s="518"/>
    </row>
    <row r="1054" spans="1:16" ht="21.75" customHeight="1" x14ac:dyDescent="0.3">
      <c r="A1054" s="513"/>
      <c r="B1054" s="513"/>
      <c r="C1054" s="513"/>
      <c r="D1054" s="513"/>
      <c r="E1054" s="515"/>
      <c r="F1054" s="515"/>
      <c r="G1054" s="515"/>
      <c r="H1054" s="515"/>
      <c r="I1054" s="515"/>
      <c r="J1054" s="515"/>
      <c r="K1054" s="516"/>
      <c r="L1054" s="517"/>
      <c r="M1054" s="517"/>
      <c r="N1054" s="517"/>
      <c r="O1054" s="518"/>
      <c r="P1054" s="518"/>
    </row>
    <row r="1055" spans="1:16" ht="21.75" customHeight="1" x14ac:dyDescent="0.3">
      <c r="A1055" s="513"/>
      <c r="B1055" s="513"/>
      <c r="C1055" s="513"/>
      <c r="D1055" s="513"/>
      <c r="E1055" s="515"/>
      <c r="F1055" s="515"/>
      <c r="G1055" s="515"/>
      <c r="H1055" s="515"/>
      <c r="I1055" s="515"/>
      <c r="J1055" s="515"/>
      <c r="K1055" s="516"/>
      <c r="L1055" s="517"/>
      <c r="M1055" s="517"/>
      <c r="N1055" s="517"/>
      <c r="O1055" s="518"/>
      <c r="P1055" s="518"/>
    </row>
    <row r="1056" spans="1:16" ht="21.75" customHeight="1" x14ac:dyDescent="0.3">
      <c r="A1056" s="513"/>
      <c r="B1056" s="513"/>
      <c r="C1056" s="513"/>
      <c r="D1056" s="513"/>
      <c r="E1056" s="515"/>
      <c r="F1056" s="515"/>
      <c r="G1056" s="515"/>
      <c r="H1056" s="515"/>
      <c r="I1056" s="515"/>
      <c r="J1056" s="515"/>
      <c r="K1056" s="516"/>
      <c r="L1056" s="517"/>
      <c r="M1056" s="517"/>
      <c r="N1056" s="517"/>
      <c r="O1056" s="518"/>
      <c r="P1056" s="518"/>
    </row>
    <row r="1057" spans="1:16" ht="21.75" customHeight="1" x14ac:dyDescent="0.3">
      <c r="A1057" s="513"/>
      <c r="B1057" s="513"/>
      <c r="C1057" s="513"/>
      <c r="D1057" s="513"/>
      <c r="E1057" s="515"/>
      <c r="F1057" s="515"/>
      <c r="G1057" s="515"/>
      <c r="H1057" s="515"/>
      <c r="I1057" s="515"/>
      <c r="J1057" s="515"/>
      <c r="K1057" s="516"/>
      <c r="L1057" s="517"/>
      <c r="M1057" s="517"/>
      <c r="N1057" s="517"/>
      <c r="O1057" s="518"/>
      <c r="P1057" s="518"/>
    </row>
    <row r="1058" spans="1:16" ht="21.75" customHeight="1" x14ac:dyDescent="0.3">
      <c r="A1058" s="513"/>
      <c r="B1058" s="513"/>
      <c r="C1058" s="513"/>
      <c r="D1058" s="513"/>
      <c r="E1058" s="515"/>
      <c r="F1058" s="515"/>
      <c r="G1058" s="515"/>
      <c r="H1058" s="515"/>
      <c r="I1058" s="515"/>
      <c r="J1058" s="515"/>
      <c r="K1058" s="516"/>
      <c r="L1058" s="517"/>
      <c r="M1058" s="517"/>
      <c r="N1058" s="517"/>
      <c r="O1058" s="518"/>
      <c r="P1058" s="518"/>
    </row>
    <row r="1059" spans="1:16" ht="21.75" customHeight="1" x14ac:dyDescent="0.3">
      <c r="A1059" s="513"/>
      <c r="B1059" s="513"/>
      <c r="C1059" s="513"/>
      <c r="D1059" s="513"/>
      <c r="E1059" s="515"/>
      <c r="F1059" s="515"/>
      <c r="G1059" s="515"/>
      <c r="H1059" s="515"/>
      <c r="I1059" s="515"/>
      <c r="J1059" s="515"/>
      <c r="K1059" s="516"/>
      <c r="L1059" s="517"/>
      <c r="M1059" s="517"/>
      <c r="N1059" s="517"/>
      <c r="O1059" s="518"/>
      <c r="P1059" s="518"/>
    </row>
    <row r="1060" spans="1:16" ht="21.75" customHeight="1" x14ac:dyDescent="0.3">
      <c r="A1060" s="513"/>
      <c r="B1060" s="513"/>
      <c r="C1060" s="513"/>
      <c r="D1060" s="513"/>
      <c r="E1060" s="515"/>
      <c r="F1060" s="515"/>
      <c r="G1060" s="515"/>
      <c r="H1060" s="515"/>
      <c r="I1060" s="515"/>
      <c r="J1060" s="515"/>
      <c r="K1060" s="516"/>
      <c r="L1060" s="517"/>
      <c r="M1060" s="517"/>
      <c r="N1060" s="517"/>
      <c r="O1060" s="518"/>
      <c r="P1060" s="518"/>
    </row>
    <row r="1061" spans="1:16" ht="21.75" customHeight="1" x14ac:dyDescent="0.3">
      <c r="A1061" s="513"/>
      <c r="B1061" s="513"/>
      <c r="C1061" s="513"/>
      <c r="D1061" s="513"/>
      <c r="E1061" s="515"/>
      <c r="F1061" s="515"/>
      <c r="G1061" s="515"/>
      <c r="H1061" s="515"/>
      <c r="I1061" s="515"/>
      <c r="J1061" s="515"/>
      <c r="K1061" s="516"/>
      <c r="L1061" s="517"/>
      <c r="M1061" s="517"/>
      <c r="N1061" s="517"/>
      <c r="O1061" s="518"/>
      <c r="P1061" s="518"/>
    </row>
    <row r="1062" spans="1:16" ht="21.75" customHeight="1" x14ac:dyDescent="0.3">
      <c r="A1062" s="513"/>
      <c r="B1062" s="513"/>
      <c r="C1062" s="513"/>
      <c r="D1062" s="513"/>
      <c r="E1062" s="515"/>
      <c r="F1062" s="515"/>
      <c r="G1062" s="515"/>
      <c r="H1062" s="515"/>
      <c r="I1062" s="515"/>
      <c r="J1062" s="515"/>
      <c r="K1062" s="516"/>
      <c r="L1062" s="517"/>
      <c r="M1062" s="517"/>
      <c r="N1062" s="517"/>
      <c r="O1062" s="518"/>
      <c r="P1062" s="518"/>
    </row>
    <row r="1063" spans="1:16" ht="21.75" customHeight="1" x14ac:dyDescent="0.3">
      <c r="A1063" s="513"/>
      <c r="B1063" s="513"/>
      <c r="C1063" s="513"/>
      <c r="D1063" s="513"/>
      <c r="E1063" s="515"/>
      <c r="F1063" s="515"/>
      <c r="G1063" s="515"/>
      <c r="H1063" s="515"/>
      <c r="I1063" s="515"/>
      <c r="J1063" s="515"/>
      <c r="K1063" s="516"/>
      <c r="L1063" s="517"/>
      <c r="M1063" s="517"/>
      <c r="N1063" s="517"/>
      <c r="O1063" s="518"/>
      <c r="P1063" s="518"/>
    </row>
    <row r="1064" spans="1:16" ht="21.75" customHeight="1" x14ac:dyDescent="0.3">
      <c r="A1064" s="513"/>
      <c r="B1064" s="513"/>
      <c r="C1064" s="513"/>
      <c r="D1064" s="513"/>
      <c r="E1064" s="515"/>
      <c r="F1064" s="515"/>
      <c r="G1064" s="515"/>
      <c r="H1064" s="515"/>
      <c r="I1064" s="515"/>
      <c r="J1064" s="515"/>
      <c r="K1064" s="516"/>
      <c r="L1064" s="517"/>
      <c r="M1064" s="517"/>
      <c r="N1064" s="517"/>
      <c r="O1064" s="518"/>
      <c r="P1064" s="518"/>
    </row>
    <row r="1065" spans="1:16" ht="21.75" customHeight="1" x14ac:dyDescent="0.3">
      <c r="A1065" s="513"/>
      <c r="B1065" s="513"/>
      <c r="C1065" s="513"/>
      <c r="D1065" s="513"/>
      <c r="E1065" s="515"/>
      <c r="F1065" s="515"/>
      <c r="G1065" s="515"/>
      <c r="H1065" s="515"/>
      <c r="I1065" s="515"/>
      <c r="J1065" s="515"/>
      <c r="K1065" s="516"/>
      <c r="L1065" s="517"/>
      <c r="M1065" s="517"/>
      <c r="N1065" s="517"/>
      <c r="O1065" s="518"/>
      <c r="P1065" s="518"/>
    </row>
    <row r="1066" spans="1:16" ht="21.75" customHeight="1" x14ac:dyDescent="0.3">
      <c r="A1066" s="513"/>
      <c r="B1066" s="513"/>
      <c r="C1066" s="513"/>
      <c r="D1066" s="513"/>
      <c r="E1066" s="515"/>
      <c r="F1066" s="515"/>
      <c r="G1066" s="515"/>
      <c r="H1066" s="515"/>
      <c r="I1066" s="515"/>
      <c r="J1066" s="515"/>
      <c r="K1066" s="516"/>
      <c r="L1066" s="517"/>
      <c r="M1066" s="517"/>
      <c r="N1066" s="517"/>
      <c r="O1066" s="518"/>
      <c r="P1066" s="518"/>
    </row>
    <row r="1067" spans="1:16" ht="21.75" customHeight="1" x14ac:dyDescent="0.3">
      <c r="A1067" s="513"/>
      <c r="B1067" s="513"/>
      <c r="C1067" s="513"/>
      <c r="D1067" s="513"/>
      <c r="E1067" s="515"/>
      <c r="F1067" s="515"/>
      <c r="G1067" s="515"/>
      <c r="H1067" s="515"/>
      <c r="I1067" s="515"/>
      <c r="J1067" s="515"/>
      <c r="K1067" s="516"/>
      <c r="L1067" s="517"/>
      <c r="M1067" s="517"/>
      <c r="N1067" s="517"/>
      <c r="O1067" s="518"/>
      <c r="P1067" s="518"/>
    </row>
    <row r="1068" spans="1:16" ht="21.75" customHeight="1" x14ac:dyDescent="0.3">
      <c r="A1068" s="513"/>
      <c r="B1068" s="513"/>
      <c r="C1068" s="513"/>
      <c r="D1068" s="513"/>
      <c r="E1068" s="515"/>
      <c r="F1068" s="515"/>
      <c r="G1068" s="515"/>
      <c r="H1068" s="515"/>
      <c r="I1068" s="515"/>
      <c r="J1068" s="515"/>
      <c r="K1068" s="516"/>
      <c r="L1068" s="517"/>
      <c r="M1068" s="517"/>
      <c r="N1068" s="517"/>
      <c r="O1068" s="518"/>
      <c r="P1068" s="518"/>
    </row>
    <row r="1069" spans="1:16" ht="21.75" customHeight="1" x14ac:dyDescent="0.3">
      <c r="A1069" s="513"/>
      <c r="B1069" s="513"/>
      <c r="C1069" s="513"/>
      <c r="D1069" s="513"/>
      <c r="E1069" s="515"/>
      <c r="F1069" s="515"/>
      <c r="G1069" s="515"/>
      <c r="H1069" s="515"/>
      <c r="I1069" s="515"/>
      <c r="J1069" s="515"/>
      <c r="K1069" s="516"/>
      <c r="L1069" s="517"/>
      <c r="M1069" s="517"/>
      <c r="N1069" s="517"/>
      <c r="O1069" s="518"/>
      <c r="P1069" s="518"/>
    </row>
    <row r="1070" spans="1:16" ht="21.75" customHeight="1" x14ac:dyDescent="0.3">
      <c r="A1070" s="513"/>
      <c r="B1070" s="513"/>
      <c r="C1070" s="513"/>
      <c r="D1070" s="513"/>
      <c r="E1070" s="515"/>
      <c r="F1070" s="515"/>
      <c r="G1070" s="515"/>
      <c r="H1070" s="515"/>
      <c r="I1070" s="515"/>
      <c r="J1070" s="515"/>
      <c r="K1070" s="516"/>
      <c r="L1070" s="517"/>
      <c r="M1070" s="517"/>
      <c r="N1070" s="517"/>
      <c r="O1070" s="518"/>
      <c r="P1070" s="518"/>
    </row>
    <row r="1071" spans="1:16" ht="21.75" customHeight="1" x14ac:dyDescent="0.3">
      <c r="A1071" s="513"/>
      <c r="B1071" s="513"/>
      <c r="C1071" s="513"/>
      <c r="D1071" s="513"/>
      <c r="E1071" s="515"/>
      <c r="F1071" s="515"/>
      <c r="G1071" s="515"/>
      <c r="H1071" s="515"/>
      <c r="I1071" s="515"/>
      <c r="J1071" s="515"/>
      <c r="K1071" s="516"/>
      <c r="L1071" s="517"/>
      <c r="M1071" s="517"/>
      <c r="N1071" s="517"/>
      <c r="O1071" s="518"/>
      <c r="P1071" s="518"/>
    </row>
    <row r="1072" spans="1:16" ht="21.75" customHeight="1" x14ac:dyDescent="0.3">
      <c r="A1072" s="513"/>
      <c r="B1072" s="513"/>
      <c r="C1072" s="513"/>
      <c r="D1072" s="513"/>
      <c r="E1072" s="515"/>
      <c r="F1072" s="515"/>
      <c r="G1072" s="515"/>
      <c r="H1072" s="515"/>
      <c r="I1072" s="515"/>
      <c r="J1072" s="515"/>
      <c r="K1072" s="516"/>
      <c r="L1072" s="517"/>
      <c r="M1072" s="517"/>
      <c r="N1072" s="517"/>
      <c r="O1072" s="518"/>
      <c r="P1072" s="518"/>
    </row>
    <row r="1073" spans="1:16" ht="21.75" customHeight="1" x14ac:dyDescent="0.3">
      <c r="A1073" s="513"/>
      <c r="B1073" s="513"/>
      <c r="C1073" s="513"/>
      <c r="D1073" s="513"/>
      <c r="E1073" s="515"/>
      <c r="F1073" s="515"/>
      <c r="G1073" s="515"/>
      <c r="H1073" s="515"/>
      <c r="I1073" s="515"/>
      <c r="J1073" s="515"/>
      <c r="K1073" s="516"/>
      <c r="L1073" s="517"/>
      <c r="M1073" s="517"/>
      <c r="N1073" s="517"/>
      <c r="O1073" s="518"/>
      <c r="P1073" s="518"/>
    </row>
    <row r="1074" spans="1:16" ht="21.75" customHeight="1" x14ac:dyDescent="0.3">
      <c r="A1074" s="513"/>
      <c r="B1074" s="513"/>
      <c r="C1074" s="513"/>
      <c r="D1074" s="513"/>
      <c r="E1074" s="515"/>
      <c r="F1074" s="515"/>
      <c r="G1074" s="515"/>
      <c r="H1074" s="515"/>
      <c r="I1074" s="515"/>
      <c r="J1074" s="515"/>
      <c r="K1074" s="516"/>
      <c r="L1074" s="517"/>
      <c r="M1074" s="517"/>
      <c r="N1074" s="517"/>
      <c r="O1074" s="518"/>
      <c r="P1074" s="518"/>
    </row>
    <row r="1075" spans="1:16" ht="21.75" customHeight="1" x14ac:dyDescent="0.3">
      <c r="A1075" s="513"/>
      <c r="B1075" s="513"/>
      <c r="C1075" s="513"/>
      <c r="D1075" s="513"/>
      <c r="E1075" s="515"/>
      <c r="F1075" s="515"/>
      <c r="G1075" s="515"/>
      <c r="H1075" s="515"/>
      <c r="I1075" s="515"/>
      <c r="J1075" s="515"/>
      <c r="K1075" s="516"/>
      <c r="L1075" s="517"/>
      <c r="M1075" s="517"/>
      <c r="N1075" s="517"/>
      <c r="O1075" s="518"/>
      <c r="P1075" s="518"/>
    </row>
    <row r="1076" spans="1:16" ht="21.75" customHeight="1" x14ac:dyDescent="0.3">
      <c r="A1076" s="513"/>
      <c r="B1076" s="513"/>
      <c r="C1076" s="513"/>
      <c r="D1076" s="513"/>
      <c r="E1076" s="515"/>
      <c r="F1076" s="515"/>
      <c r="G1076" s="515"/>
      <c r="H1076" s="515"/>
      <c r="I1076" s="515"/>
      <c r="J1076" s="515"/>
      <c r="K1076" s="516"/>
      <c r="L1076" s="517"/>
      <c r="M1076" s="517"/>
      <c r="N1076" s="517"/>
      <c r="O1076" s="518"/>
      <c r="P1076" s="518"/>
    </row>
    <row r="1077" spans="1:16" ht="21.75" customHeight="1" x14ac:dyDescent="0.3">
      <c r="A1077" s="513"/>
      <c r="B1077" s="513"/>
      <c r="C1077" s="513"/>
      <c r="D1077" s="513"/>
      <c r="E1077" s="515"/>
      <c r="F1077" s="515"/>
      <c r="G1077" s="515"/>
      <c r="H1077" s="515"/>
      <c r="I1077" s="515"/>
      <c r="J1077" s="515"/>
      <c r="K1077" s="516"/>
      <c r="L1077" s="517"/>
      <c r="M1077" s="517"/>
      <c r="N1077" s="517"/>
      <c r="O1077" s="518"/>
      <c r="P1077" s="518"/>
    </row>
    <row r="1078" spans="1:16" ht="21.75" customHeight="1" x14ac:dyDescent="0.3">
      <c r="A1078" s="513"/>
      <c r="B1078" s="513"/>
      <c r="C1078" s="513"/>
      <c r="D1078" s="513"/>
      <c r="E1078" s="515"/>
      <c r="F1078" s="515"/>
      <c r="G1078" s="515"/>
      <c r="H1078" s="515"/>
      <c r="I1078" s="515"/>
      <c r="J1078" s="515"/>
      <c r="K1078" s="516"/>
      <c r="L1078" s="517"/>
      <c r="M1078" s="517"/>
      <c r="N1078" s="517"/>
      <c r="O1078" s="518"/>
      <c r="P1078" s="518"/>
    </row>
    <row r="1079" spans="1:16" ht="21.75" customHeight="1" x14ac:dyDescent="0.3">
      <c r="A1079" s="513"/>
      <c r="B1079" s="513"/>
      <c r="C1079" s="513"/>
      <c r="D1079" s="513"/>
      <c r="E1079" s="515"/>
      <c r="F1079" s="515"/>
      <c r="G1079" s="515"/>
      <c r="H1079" s="515"/>
      <c r="I1079" s="515"/>
      <c r="J1079" s="515"/>
      <c r="K1079" s="516"/>
      <c r="L1079" s="517"/>
      <c r="M1079" s="517"/>
      <c r="N1079" s="517"/>
      <c r="O1079" s="518"/>
      <c r="P1079" s="518"/>
    </row>
    <row r="1080" spans="1:16" ht="21.75" customHeight="1" x14ac:dyDescent="0.3">
      <c r="A1080" s="513"/>
      <c r="B1080" s="513"/>
      <c r="C1080" s="513"/>
      <c r="D1080" s="513"/>
      <c r="E1080" s="515"/>
      <c r="F1080" s="515"/>
      <c r="G1080" s="515"/>
      <c r="H1080" s="515"/>
      <c r="I1080" s="515"/>
      <c r="J1080" s="515"/>
      <c r="K1080" s="516"/>
      <c r="L1080" s="517"/>
      <c r="M1080" s="517"/>
      <c r="N1080" s="517"/>
      <c r="O1080" s="518"/>
      <c r="P1080" s="518"/>
    </row>
    <row r="1081" spans="1:16" ht="21.75" customHeight="1" x14ac:dyDescent="0.3">
      <c r="A1081" s="513"/>
      <c r="B1081" s="513"/>
      <c r="C1081" s="513"/>
      <c r="D1081" s="513"/>
      <c r="E1081" s="515"/>
      <c r="F1081" s="515"/>
      <c r="G1081" s="515"/>
      <c r="H1081" s="515"/>
      <c r="I1081" s="515"/>
      <c r="J1081" s="515"/>
      <c r="K1081" s="516"/>
      <c r="L1081" s="517"/>
      <c r="M1081" s="517"/>
      <c r="N1081" s="517"/>
      <c r="O1081" s="518"/>
      <c r="P1081" s="518"/>
    </row>
    <row r="1082" spans="1:16" ht="21.75" customHeight="1" x14ac:dyDescent="0.3">
      <c r="A1082" s="513"/>
      <c r="B1082" s="513"/>
      <c r="C1082" s="513"/>
      <c r="D1082" s="513"/>
      <c r="E1082" s="515"/>
      <c r="F1082" s="515"/>
      <c r="G1082" s="515"/>
      <c r="H1082" s="515"/>
      <c r="I1082" s="515"/>
      <c r="J1082" s="515"/>
      <c r="K1082" s="516"/>
      <c r="L1082" s="517"/>
      <c r="M1082" s="517"/>
      <c r="N1082" s="517"/>
      <c r="O1082" s="518"/>
      <c r="P1082" s="518"/>
    </row>
    <row r="1083" spans="1:16" ht="21.75" customHeight="1" x14ac:dyDescent="0.3">
      <c r="A1083" s="513"/>
      <c r="B1083" s="513"/>
      <c r="C1083" s="513"/>
      <c r="D1083" s="513"/>
      <c r="E1083" s="515"/>
      <c r="F1083" s="515"/>
      <c r="G1083" s="515"/>
      <c r="H1083" s="515"/>
      <c r="I1083" s="515"/>
      <c r="J1083" s="515"/>
      <c r="K1083" s="516"/>
      <c r="L1083" s="517"/>
      <c r="M1083" s="517"/>
      <c r="N1083" s="517"/>
      <c r="O1083" s="518"/>
      <c r="P1083" s="518"/>
    </row>
    <row r="1084" spans="1:16" ht="21.75" customHeight="1" x14ac:dyDescent="0.3">
      <c r="A1084" s="513"/>
      <c r="B1084" s="513"/>
      <c r="C1084" s="513"/>
      <c r="D1084" s="513"/>
      <c r="E1084" s="515"/>
      <c r="F1084" s="515"/>
      <c r="G1084" s="515"/>
      <c r="H1084" s="515"/>
      <c r="I1084" s="515"/>
      <c r="J1084" s="515"/>
      <c r="K1084" s="516"/>
      <c r="L1084" s="517"/>
      <c r="M1084" s="517"/>
      <c r="N1084" s="517"/>
      <c r="O1084" s="518"/>
      <c r="P1084" s="518"/>
    </row>
    <row r="1085" spans="1:16" ht="21.75" customHeight="1" x14ac:dyDescent="0.3">
      <c r="A1085" s="513"/>
      <c r="B1085" s="513"/>
      <c r="C1085" s="513"/>
      <c r="D1085" s="513"/>
      <c r="E1085" s="515"/>
      <c r="F1085" s="515"/>
      <c r="G1085" s="515"/>
      <c r="H1085" s="515"/>
      <c r="I1085" s="515"/>
      <c r="J1085" s="515"/>
      <c r="K1085" s="516"/>
      <c r="L1085" s="517"/>
      <c r="M1085" s="517"/>
      <c r="N1085" s="517"/>
      <c r="O1085" s="518"/>
      <c r="P1085" s="518"/>
    </row>
    <row r="1086" spans="1:16" ht="21.75" customHeight="1" x14ac:dyDescent="0.3">
      <c r="A1086" s="513"/>
      <c r="B1086" s="513"/>
      <c r="C1086" s="513"/>
      <c r="D1086" s="513"/>
      <c r="E1086" s="515"/>
      <c r="F1086" s="515"/>
      <c r="G1086" s="515"/>
      <c r="H1086" s="515"/>
      <c r="I1086" s="515"/>
      <c r="J1086" s="515"/>
      <c r="K1086" s="516"/>
      <c r="L1086" s="517"/>
      <c r="M1086" s="517"/>
      <c r="N1086" s="517"/>
      <c r="O1086" s="518"/>
      <c r="P1086" s="518"/>
    </row>
    <row r="1087" spans="1:16" ht="21.75" customHeight="1" x14ac:dyDescent="0.3">
      <c r="A1087" s="513"/>
      <c r="B1087" s="513"/>
      <c r="C1087" s="513"/>
      <c r="D1087" s="513"/>
      <c r="E1087" s="515"/>
      <c r="F1087" s="515"/>
      <c r="G1087" s="515"/>
      <c r="H1087" s="515"/>
      <c r="I1087" s="515"/>
      <c r="J1087" s="515"/>
      <c r="K1087" s="516"/>
      <c r="L1087" s="517"/>
      <c r="M1087" s="517"/>
      <c r="N1087" s="517"/>
      <c r="O1087" s="518"/>
      <c r="P1087" s="518"/>
    </row>
    <row r="1088" spans="1:16" ht="21.75" customHeight="1" x14ac:dyDescent="0.3">
      <c r="A1088" s="513"/>
      <c r="B1088" s="513"/>
      <c r="C1088" s="513"/>
      <c r="D1088" s="513"/>
      <c r="E1088" s="515"/>
      <c r="F1088" s="515"/>
      <c r="G1088" s="515"/>
      <c r="H1088" s="515"/>
      <c r="I1088" s="515"/>
      <c r="J1088" s="515"/>
      <c r="K1088" s="516"/>
      <c r="L1088" s="517"/>
      <c r="M1088" s="517"/>
      <c r="N1088" s="517"/>
      <c r="O1088" s="518"/>
      <c r="P1088" s="518"/>
    </row>
    <row r="1089" spans="1:16" ht="21.75" customHeight="1" x14ac:dyDescent="0.3">
      <c r="A1089" s="513"/>
      <c r="B1089" s="513"/>
      <c r="C1089" s="513"/>
      <c r="D1089" s="513"/>
      <c r="E1089" s="515"/>
      <c r="F1089" s="515"/>
      <c r="G1089" s="515"/>
      <c r="H1089" s="515"/>
      <c r="I1089" s="515"/>
      <c r="J1089" s="515"/>
      <c r="K1089" s="516"/>
      <c r="L1089" s="517"/>
      <c r="M1089" s="517"/>
      <c r="N1089" s="517"/>
      <c r="O1089" s="518"/>
      <c r="P1089" s="518"/>
    </row>
    <row r="1090" spans="1:16" ht="21.75" customHeight="1" x14ac:dyDescent="0.3">
      <c r="A1090" s="513"/>
      <c r="B1090" s="513"/>
      <c r="C1090" s="513"/>
      <c r="D1090" s="513"/>
      <c r="E1090" s="515"/>
      <c r="F1090" s="515"/>
      <c r="G1090" s="515"/>
      <c r="H1090" s="515"/>
      <c r="I1090" s="515"/>
      <c r="J1090" s="515"/>
      <c r="K1090" s="516"/>
      <c r="L1090" s="517"/>
      <c r="M1090" s="517"/>
      <c r="N1090" s="517"/>
      <c r="O1090" s="518"/>
      <c r="P1090" s="518"/>
    </row>
    <row r="1091" spans="1:16" ht="21.75" customHeight="1" x14ac:dyDescent="0.3">
      <c r="A1091" s="513"/>
      <c r="B1091" s="513"/>
      <c r="C1091" s="513"/>
      <c r="D1091" s="513"/>
      <c r="E1091" s="515"/>
      <c r="F1091" s="515"/>
      <c r="G1091" s="515"/>
      <c r="H1091" s="515"/>
      <c r="I1091" s="515"/>
      <c r="J1091" s="515"/>
      <c r="K1091" s="516"/>
      <c r="L1091" s="517"/>
      <c r="M1091" s="517"/>
      <c r="N1091" s="517"/>
      <c r="O1091" s="518"/>
      <c r="P1091" s="518"/>
    </row>
    <row r="1092" spans="1:16" ht="21.75" customHeight="1" x14ac:dyDescent="0.3">
      <c r="A1092" s="513"/>
      <c r="B1092" s="513"/>
      <c r="C1092" s="513"/>
      <c r="D1092" s="513"/>
      <c r="E1092" s="515"/>
      <c r="F1092" s="515"/>
      <c r="G1092" s="515"/>
      <c r="H1092" s="515"/>
      <c r="I1092" s="515"/>
      <c r="J1092" s="515"/>
      <c r="K1092" s="516"/>
      <c r="L1092" s="517"/>
      <c r="M1092" s="517"/>
      <c r="N1092" s="517"/>
      <c r="O1092" s="518"/>
      <c r="P1092" s="518"/>
    </row>
    <row r="1093" spans="1:16" ht="21.75" customHeight="1" x14ac:dyDescent="0.3">
      <c r="A1093" s="513"/>
      <c r="B1093" s="513"/>
      <c r="C1093" s="513"/>
      <c r="D1093" s="513"/>
      <c r="E1093" s="515"/>
      <c r="F1093" s="515"/>
      <c r="G1093" s="515"/>
      <c r="H1093" s="515"/>
      <c r="I1093" s="515"/>
      <c r="J1093" s="515"/>
      <c r="K1093" s="516"/>
      <c r="L1093" s="517"/>
      <c r="M1093" s="517"/>
      <c r="N1093" s="517"/>
      <c r="O1093" s="518"/>
      <c r="P1093" s="518"/>
    </row>
    <row r="1094" spans="1:16" ht="21.75" customHeight="1" x14ac:dyDescent="0.3">
      <c r="A1094" s="513"/>
      <c r="B1094" s="513"/>
      <c r="C1094" s="513"/>
      <c r="D1094" s="513"/>
      <c r="E1094" s="515"/>
      <c r="F1094" s="515"/>
      <c r="G1094" s="515"/>
      <c r="H1094" s="515"/>
      <c r="I1094" s="515"/>
      <c r="J1094" s="515"/>
      <c r="K1094" s="516"/>
      <c r="L1094" s="517"/>
      <c r="M1094" s="517"/>
      <c r="N1094" s="517"/>
      <c r="O1094" s="518"/>
      <c r="P1094" s="518"/>
    </row>
    <row r="1095" spans="1:16" ht="21.75" customHeight="1" x14ac:dyDescent="0.3">
      <c r="A1095" s="513"/>
      <c r="B1095" s="513"/>
      <c r="C1095" s="513"/>
      <c r="D1095" s="513"/>
      <c r="E1095" s="515"/>
      <c r="F1095" s="515"/>
      <c r="G1095" s="515"/>
      <c r="H1095" s="515"/>
      <c r="I1095" s="515"/>
      <c r="J1095" s="515"/>
      <c r="K1095" s="516"/>
      <c r="L1095" s="517"/>
      <c r="M1095" s="517"/>
      <c r="N1095" s="517"/>
      <c r="O1095" s="518"/>
      <c r="P1095" s="518"/>
    </row>
    <row r="1096" spans="1:16" ht="21.75" customHeight="1" x14ac:dyDescent="0.3">
      <c r="A1096" s="513"/>
      <c r="B1096" s="513"/>
      <c r="C1096" s="513"/>
      <c r="D1096" s="513"/>
      <c r="E1096" s="515"/>
      <c r="F1096" s="515"/>
      <c r="G1096" s="515"/>
      <c r="H1096" s="515"/>
      <c r="I1096" s="515"/>
      <c r="J1096" s="515"/>
      <c r="K1096" s="516"/>
      <c r="L1096" s="517"/>
      <c r="M1096" s="517"/>
      <c r="N1096" s="517"/>
      <c r="O1096" s="518"/>
      <c r="P1096" s="518"/>
    </row>
    <row r="1097" spans="1:16" ht="21.75" customHeight="1" x14ac:dyDescent="0.3">
      <c r="A1097" s="513"/>
      <c r="B1097" s="513"/>
      <c r="C1097" s="513"/>
      <c r="D1097" s="513"/>
      <c r="E1097" s="515"/>
      <c r="F1097" s="515"/>
      <c r="G1097" s="515"/>
      <c r="H1097" s="515"/>
      <c r="I1097" s="515"/>
      <c r="J1097" s="515"/>
      <c r="K1097" s="516"/>
      <c r="L1097" s="517"/>
      <c r="M1097" s="517"/>
      <c r="N1097" s="517"/>
      <c r="O1097" s="518"/>
      <c r="P1097" s="518"/>
    </row>
    <row r="1098" spans="1:16" ht="21.75" customHeight="1" x14ac:dyDescent="0.3">
      <c r="A1098" s="513"/>
      <c r="B1098" s="513"/>
      <c r="C1098" s="513"/>
      <c r="D1098" s="513"/>
      <c r="E1098" s="515"/>
      <c r="F1098" s="515"/>
      <c r="G1098" s="515"/>
      <c r="H1098" s="515"/>
      <c r="I1098" s="515"/>
      <c r="J1098" s="515"/>
      <c r="K1098" s="516"/>
      <c r="L1098" s="517"/>
      <c r="M1098" s="517"/>
      <c r="N1098" s="517"/>
      <c r="O1098" s="518"/>
      <c r="P1098" s="518"/>
    </row>
    <row r="1099" spans="1:16" ht="21.75" customHeight="1" x14ac:dyDescent="0.3">
      <c r="A1099" s="513"/>
      <c r="B1099" s="513"/>
      <c r="C1099" s="513"/>
      <c r="D1099" s="513"/>
      <c r="E1099" s="515"/>
      <c r="F1099" s="515"/>
      <c r="G1099" s="515"/>
      <c r="H1099" s="515"/>
      <c r="I1099" s="515"/>
      <c r="J1099" s="515"/>
      <c r="K1099" s="516"/>
      <c r="L1099" s="517"/>
      <c r="M1099" s="517"/>
      <c r="N1099" s="517"/>
      <c r="O1099" s="518"/>
      <c r="P1099" s="518"/>
    </row>
    <row r="1100" spans="1:16" ht="21.75" customHeight="1" x14ac:dyDescent="0.3">
      <c r="A1100" s="513"/>
      <c r="B1100" s="513"/>
      <c r="C1100" s="513"/>
      <c r="D1100" s="513"/>
      <c r="E1100" s="515"/>
      <c r="F1100" s="515"/>
      <c r="G1100" s="515"/>
      <c r="H1100" s="515"/>
      <c r="I1100" s="515"/>
      <c r="J1100" s="515"/>
      <c r="K1100" s="516"/>
      <c r="L1100" s="517"/>
      <c r="M1100" s="517"/>
      <c r="N1100" s="517"/>
      <c r="O1100" s="518"/>
      <c r="P1100" s="518"/>
    </row>
    <row r="1101" spans="1:16" ht="21.75" customHeight="1" x14ac:dyDescent="0.3">
      <c r="A1101" s="513"/>
      <c r="B1101" s="513"/>
      <c r="C1101" s="513"/>
      <c r="D1101" s="513"/>
      <c r="E1101" s="515"/>
      <c r="F1101" s="515"/>
      <c r="G1101" s="515"/>
      <c r="H1101" s="515"/>
      <c r="I1101" s="515"/>
      <c r="J1101" s="515"/>
      <c r="K1101" s="516"/>
      <c r="L1101" s="517"/>
      <c r="M1101" s="517"/>
      <c r="N1101" s="517"/>
      <c r="O1101" s="518"/>
      <c r="P1101" s="518"/>
    </row>
    <row r="1102" spans="1:16" ht="21.75" customHeight="1" x14ac:dyDescent="0.3">
      <c r="A1102" s="513"/>
      <c r="B1102" s="513"/>
      <c r="C1102" s="513"/>
      <c r="D1102" s="513"/>
      <c r="E1102" s="515"/>
      <c r="F1102" s="515"/>
      <c r="G1102" s="515"/>
      <c r="H1102" s="515"/>
      <c r="I1102" s="515"/>
      <c r="J1102" s="515"/>
      <c r="K1102" s="516"/>
      <c r="L1102" s="517"/>
      <c r="M1102" s="517"/>
      <c r="N1102" s="517"/>
      <c r="O1102" s="518"/>
      <c r="P1102" s="518"/>
    </row>
    <row r="1103" spans="1:16" ht="21.75" customHeight="1" x14ac:dyDescent="0.3">
      <c r="A1103" s="513"/>
      <c r="B1103" s="513"/>
      <c r="C1103" s="513"/>
      <c r="D1103" s="513"/>
      <c r="E1103" s="515"/>
      <c r="F1103" s="515"/>
      <c r="G1103" s="515"/>
      <c r="H1103" s="515"/>
      <c r="I1103" s="515"/>
      <c r="J1103" s="515"/>
      <c r="K1103" s="516"/>
      <c r="L1103" s="517"/>
      <c r="M1103" s="517"/>
      <c r="N1103" s="517"/>
      <c r="O1103" s="518"/>
      <c r="P1103" s="518"/>
    </row>
    <row r="1104" spans="1:16" ht="21.75" customHeight="1" x14ac:dyDescent="0.3">
      <c r="A1104" s="513"/>
      <c r="B1104" s="513"/>
      <c r="C1104" s="513"/>
      <c r="D1104" s="513"/>
      <c r="E1104" s="515"/>
      <c r="F1104" s="515"/>
      <c r="G1104" s="515"/>
      <c r="H1104" s="515"/>
      <c r="I1104" s="515"/>
      <c r="J1104" s="515"/>
      <c r="K1104" s="516"/>
      <c r="L1104" s="517"/>
      <c r="M1104" s="517"/>
      <c r="N1104" s="517"/>
      <c r="O1104" s="518"/>
      <c r="P1104" s="518"/>
    </row>
    <row r="1105" spans="1:16" ht="21.75" customHeight="1" x14ac:dyDescent="0.3">
      <c r="A1105" s="513"/>
      <c r="B1105" s="513"/>
      <c r="C1105" s="513"/>
      <c r="D1105" s="513"/>
      <c r="E1105" s="515"/>
      <c r="F1105" s="515"/>
      <c r="G1105" s="515"/>
      <c r="H1105" s="515"/>
      <c r="I1105" s="515"/>
      <c r="J1105" s="515"/>
      <c r="K1105" s="516"/>
      <c r="L1105" s="517"/>
      <c r="M1105" s="517"/>
      <c r="N1105" s="517"/>
      <c r="O1105" s="518"/>
      <c r="P1105" s="518"/>
    </row>
    <row r="1106" spans="1:16" ht="21.75" customHeight="1" x14ac:dyDescent="0.3">
      <c r="A1106" s="513"/>
      <c r="B1106" s="513"/>
      <c r="C1106" s="513"/>
      <c r="D1106" s="513"/>
      <c r="E1106" s="515"/>
      <c r="F1106" s="515"/>
      <c r="G1106" s="515"/>
      <c r="H1106" s="515"/>
      <c r="I1106" s="515"/>
      <c r="J1106" s="515"/>
      <c r="K1106" s="516"/>
      <c r="L1106" s="517"/>
      <c r="M1106" s="517"/>
      <c r="N1106" s="517"/>
      <c r="O1106" s="518"/>
      <c r="P1106" s="518"/>
    </row>
    <row r="1107" spans="1:16" ht="21.75" customHeight="1" x14ac:dyDescent="0.3">
      <c r="A1107" s="513"/>
      <c r="B1107" s="513"/>
      <c r="C1107" s="513"/>
      <c r="D1107" s="513"/>
      <c r="E1107" s="515"/>
      <c r="F1107" s="515"/>
      <c r="G1107" s="515"/>
      <c r="H1107" s="515"/>
      <c r="I1107" s="515"/>
      <c r="J1107" s="515"/>
      <c r="K1107" s="516"/>
      <c r="L1107" s="517"/>
      <c r="M1107" s="517"/>
      <c r="N1107" s="517"/>
      <c r="O1107" s="518"/>
      <c r="P1107" s="518"/>
    </row>
    <row r="1108" spans="1:16" ht="21.75" customHeight="1" x14ac:dyDescent="0.3">
      <c r="A1108" s="513"/>
      <c r="B1108" s="513"/>
      <c r="C1108" s="513"/>
      <c r="D1108" s="513"/>
      <c r="E1108" s="515"/>
      <c r="F1108" s="515"/>
      <c r="G1108" s="515"/>
      <c r="H1108" s="515"/>
      <c r="I1108" s="515"/>
      <c r="J1108" s="515"/>
      <c r="K1108" s="516"/>
      <c r="L1108" s="517"/>
      <c r="M1108" s="517"/>
      <c r="N1108" s="517"/>
      <c r="O1108" s="518"/>
      <c r="P1108" s="518"/>
    </row>
    <row r="1109" spans="1:16" ht="21.75" customHeight="1" x14ac:dyDescent="0.3">
      <c r="A1109" s="513"/>
      <c r="B1109" s="513"/>
      <c r="C1109" s="513"/>
      <c r="D1109" s="513"/>
      <c r="E1109" s="515"/>
      <c r="F1109" s="515"/>
      <c r="G1109" s="515"/>
      <c r="H1109" s="515"/>
      <c r="I1109" s="515"/>
      <c r="J1109" s="515"/>
      <c r="K1109" s="516"/>
      <c r="L1109" s="517"/>
      <c r="M1109" s="517"/>
      <c r="N1109" s="517"/>
      <c r="O1109" s="518"/>
      <c r="P1109" s="518"/>
    </row>
    <row r="1110" spans="1:16" ht="21.75" customHeight="1" x14ac:dyDescent="0.3">
      <c r="A1110" s="513"/>
      <c r="B1110" s="513"/>
      <c r="C1110" s="513"/>
      <c r="D1110" s="513"/>
      <c r="E1110" s="515"/>
      <c r="F1110" s="515"/>
      <c r="G1110" s="515"/>
      <c r="H1110" s="515"/>
      <c r="I1110" s="515"/>
      <c r="J1110" s="515"/>
      <c r="K1110" s="516"/>
      <c r="L1110" s="517"/>
      <c r="M1110" s="517"/>
      <c r="N1110" s="517"/>
      <c r="O1110" s="518"/>
      <c r="P1110" s="518"/>
    </row>
    <row r="1111" spans="1:16" ht="21.75" customHeight="1" x14ac:dyDescent="0.3">
      <c r="A1111" s="513"/>
      <c r="B1111" s="513"/>
      <c r="C1111" s="513"/>
      <c r="D1111" s="513"/>
      <c r="E1111" s="515"/>
      <c r="F1111" s="515"/>
      <c r="G1111" s="515"/>
      <c r="H1111" s="515"/>
      <c r="I1111" s="515"/>
      <c r="J1111" s="515"/>
      <c r="K1111" s="516"/>
      <c r="L1111" s="517"/>
      <c r="M1111" s="517"/>
      <c r="N1111" s="517"/>
      <c r="O1111" s="518"/>
      <c r="P1111" s="518"/>
    </row>
    <row r="1112" spans="1:16" ht="21.75" customHeight="1" x14ac:dyDescent="0.3">
      <c r="A1112" s="513"/>
      <c r="B1112" s="513"/>
      <c r="C1112" s="513"/>
      <c r="D1112" s="513"/>
      <c r="E1112" s="515"/>
      <c r="F1112" s="515"/>
      <c r="G1112" s="515"/>
      <c r="H1112" s="515"/>
      <c r="I1112" s="515"/>
      <c r="J1112" s="515"/>
      <c r="K1112" s="516"/>
      <c r="L1112" s="517"/>
      <c r="M1112" s="517"/>
      <c r="N1112" s="517"/>
      <c r="O1112" s="518"/>
      <c r="P1112" s="518"/>
    </row>
    <row r="1113" spans="1:16" ht="21.75" customHeight="1" x14ac:dyDescent="0.3">
      <c r="A1113" s="513"/>
      <c r="B1113" s="513"/>
      <c r="C1113" s="513"/>
      <c r="D1113" s="513"/>
      <c r="E1113" s="515"/>
      <c r="F1113" s="515"/>
      <c r="G1113" s="515"/>
      <c r="H1113" s="515"/>
      <c r="I1113" s="515"/>
      <c r="J1113" s="515"/>
      <c r="K1113" s="516"/>
      <c r="L1113" s="517"/>
      <c r="M1113" s="517"/>
      <c r="N1113" s="517"/>
      <c r="O1113" s="518"/>
      <c r="P1113" s="518"/>
    </row>
    <row r="1114" spans="1:16" ht="21.75" customHeight="1" x14ac:dyDescent="0.3">
      <c r="A1114" s="513"/>
      <c r="B1114" s="513"/>
      <c r="C1114" s="513"/>
      <c r="D1114" s="513"/>
      <c r="E1114" s="515"/>
      <c r="F1114" s="515"/>
      <c r="G1114" s="515"/>
      <c r="H1114" s="515"/>
      <c r="I1114" s="515"/>
      <c r="J1114" s="515"/>
      <c r="K1114" s="516"/>
      <c r="L1114" s="517"/>
      <c r="M1114" s="517"/>
      <c r="N1114" s="517"/>
      <c r="O1114" s="518"/>
      <c r="P1114" s="518"/>
    </row>
    <row r="1115" spans="1:16" ht="21.75" customHeight="1" x14ac:dyDescent="0.3">
      <c r="A1115" s="513"/>
      <c r="B1115" s="513"/>
      <c r="C1115" s="513"/>
      <c r="D1115" s="513"/>
      <c r="E1115" s="515"/>
      <c r="F1115" s="515"/>
      <c r="G1115" s="515"/>
      <c r="H1115" s="515"/>
      <c r="I1115" s="515"/>
      <c r="J1115" s="515"/>
      <c r="K1115" s="516"/>
      <c r="L1115" s="517"/>
      <c r="M1115" s="517"/>
      <c r="N1115" s="517"/>
      <c r="O1115" s="518"/>
      <c r="P1115" s="518"/>
    </row>
    <row r="1116" spans="1:16" ht="21.75" customHeight="1" x14ac:dyDescent="0.3">
      <c r="A1116" s="513"/>
      <c r="B1116" s="513"/>
      <c r="C1116" s="513"/>
      <c r="D1116" s="513"/>
      <c r="E1116" s="515"/>
      <c r="F1116" s="515"/>
      <c r="G1116" s="515"/>
      <c r="H1116" s="515"/>
      <c r="I1116" s="515"/>
      <c r="J1116" s="515"/>
      <c r="K1116" s="516"/>
      <c r="L1116" s="517"/>
      <c r="M1116" s="517"/>
      <c r="N1116" s="517"/>
      <c r="O1116" s="518"/>
      <c r="P1116" s="518"/>
    </row>
    <row r="1117" spans="1:16" ht="21.75" customHeight="1" x14ac:dyDescent="0.3">
      <c r="A1117" s="513"/>
      <c r="B1117" s="513"/>
      <c r="C1117" s="513"/>
      <c r="D1117" s="513"/>
      <c r="E1117" s="515"/>
      <c r="F1117" s="515"/>
      <c r="G1117" s="515"/>
      <c r="H1117" s="515"/>
      <c r="I1117" s="515"/>
      <c r="J1117" s="515"/>
      <c r="K1117" s="516"/>
      <c r="L1117" s="517"/>
      <c r="M1117" s="517"/>
      <c r="N1117" s="517"/>
      <c r="O1117" s="518"/>
      <c r="P1117" s="518"/>
    </row>
    <row r="1118" spans="1:16" ht="21.75" customHeight="1" x14ac:dyDescent="0.3">
      <c r="A1118" s="513"/>
      <c r="B1118" s="513"/>
      <c r="C1118" s="513"/>
      <c r="D1118" s="513"/>
      <c r="E1118" s="515"/>
      <c r="F1118" s="515"/>
      <c r="G1118" s="515"/>
      <c r="H1118" s="515"/>
      <c r="I1118" s="515"/>
      <c r="J1118" s="515"/>
      <c r="K1118" s="516"/>
      <c r="L1118" s="517"/>
      <c r="M1118" s="517"/>
      <c r="N1118" s="517"/>
      <c r="O1118" s="518"/>
      <c r="P1118" s="518"/>
    </row>
    <row r="1119" spans="1:16" ht="21.75" customHeight="1" x14ac:dyDescent="0.3">
      <c r="A1119" s="513"/>
      <c r="B1119" s="513"/>
      <c r="C1119" s="513"/>
      <c r="D1119" s="513"/>
      <c r="E1119" s="515"/>
      <c r="F1119" s="515"/>
      <c r="G1119" s="515"/>
      <c r="H1119" s="515"/>
      <c r="I1119" s="515"/>
      <c r="J1119" s="515"/>
      <c r="K1119" s="516"/>
      <c r="L1119" s="517"/>
      <c r="M1119" s="517"/>
      <c r="N1119" s="517"/>
      <c r="O1119" s="518"/>
      <c r="P1119" s="518"/>
    </row>
    <row r="1120" spans="1:16" ht="21.75" customHeight="1" x14ac:dyDescent="0.3">
      <c r="A1120" s="513"/>
      <c r="B1120" s="513"/>
      <c r="C1120" s="513"/>
      <c r="D1120" s="513"/>
      <c r="E1120" s="515"/>
      <c r="F1120" s="515"/>
      <c r="G1120" s="515"/>
      <c r="H1120" s="515"/>
      <c r="I1120" s="515"/>
      <c r="J1120" s="515"/>
      <c r="K1120" s="516"/>
      <c r="L1120" s="517"/>
      <c r="M1120" s="517"/>
      <c r="N1120" s="517"/>
      <c r="O1120" s="518"/>
      <c r="P1120" s="518"/>
    </row>
    <row r="1121" spans="1:16" ht="21.75" customHeight="1" x14ac:dyDescent="0.3">
      <c r="A1121" s="513"/>
      <c r="B1121" s="513"/>
      <c r="C1121" s="513"/>
      <c r="D1121" s="513"/>
      <c r="E1121" s="515"/>
      <c r="F1121" s="515"/>
      <c r="G1121" s="515"/>
      <c r="H1121" s="515"/>
      <c r="I1121" s="515"/>
      <c r="J1121" s="515"/>
      <c r="K1121" s="516"/>
      <c r="L1121" s="517"/>
      <c r="M1121" s="517"/>
      <c r="N1121" s="517"/>
      <c r="O1121" s="518"/>
      <c r="P1121" s="518"/>
    </row>
    <row r="1122" spans="1:16" ht="21.75" customHeight="1" x14ac:dyDescent="0.3">
      <c r="A1122" s="513"/>
      <c r="B1122" s="513"/>
      <c r="C1122" s="513"/>
      <c r="D1122" s="513"/>
      <c r="E1122" s="515"/>
      <c r="F1122" s="515"/>
      <c r="G1122" s="515"/>
      <c r="H1122" s="515"/>
      <c r="I1122" s="515"/>
      <c r="J1122" s="515"/>
      <c r="K1122" s="516"/>
      <c r="L1122" s="517"/>
      <c r="M1122" s="517"/>
      <c r="N1122" s="517"/>
      <c r="O1122" s="518"/>
      <c r="P1122" s="518"/>
    </row>
    <row r="1123" spans="1:16" ht="21.75" customHeight="1" x14ac:dyDescent="0.3">
      <c r="A1123" s="513"/>
      <c r="B1123" s="513"/>
      <c r="C1123" s="513"/>
      <c r="D1123" s="513"/>
      <c r="E1123" s="515"/>
      <c r="F1123" s="515"/>
      <c r="G1123" s="515"/>
      <c r="H1123" s="515"/>
      <c r="I1123" s="515"/>
      <c r="J1123" s="515"/>
      <c r="K1123" s="516"/>
      <c r="L1123" s="517"/>
      <c r="M1123" s="517"/>
      <c r="N1123" s="517"/>
      <c r="O1123" s="518"/>
      <c r="P1123" s="518"/>
    </row>
    <row r="1124" spans="1:16" ht="21.75" customHeight="1" x14ac:dyDescent="0.3">
      <c r="A1124" s="513"/>
      <c r="B1124" s="513"/>
      <c r="C1124" s="513"/>
      <c r="D1124" s="513"/>
      <c r="E1124" s="515"/>
      <c r="F1124" s="515"/>
      <c r="G1124" s="515"/>
      <c r="H1124" s="515"/>
      <c r="I1124" s="515"/>
      <c r="J1124" s="515"/>
      <c r="K1124" s="516"/>
      <c r="L1124" s="517"/>
      <c r="M1124" s="517"/>
      <c r="N1124" s="517"/>
      <c r="O1124" s="518"/>
      <c r="P1124" s="518"/>
    </row>
    <row r="1125" spans="1:16" ht="21.75" customHeight="1" x14ac:dyDescent="0.3">
      <c r="A1125" s="513"/>
      <c r="B1125" s="513"/>
      <c r="C1125" s="513"/>
      <c r="D1125" s="513"/>
      <c r="E1125" s="515"/>
      <c r="F1125" s="515"/>
      <c r="G1125" s="515"/>
      <c r="H1125" s="515"/>
      <c r="I1125" s="515"/>
      <c r="J1125" s="515"/>
      <c r="K1125" s="516"/>
      <c r="L1125" s="517"/>
      <c r="M1125" s="517"/>
      <c r="N1125" s="517"/>
      <c r="O1125" s="518"/>
      <c r="P1125" s="518"/>
    </row>
    <row r="1126" spans="1:16" ht="21.75" customHeight="1" x14ac:dyDescent="0.3">
      <c r="A1126" s="513"/>
      <c r="B1126" s="513"/>
      <c r="C1126" s="513"/>
      <c r="D1126" s="513"/>
      <c r="E1126" s="515"/>
      <c r="F1126" s="515"/>
      <c r="G1126" s="515"/>
      <c r="H1126" s="515"/>
      <c r="I1126" s="515"/>
      <c r="J1126" s="515"/>
      <c r="K1126" s="516"/>
      <c r="L1126" s="517"/>
      <c r="M1126" s="517"/>
      <c r="N1126" s="517"/>
      <c r="O1126" s="518"/>
      <c r="P1126" s="518"/>
    </row>
    <row r="1127" spans="1:16" ht="21.75" customHeight="1" x14ac:dyDescent="0.3">
      <c r="A1127" s="513"/>
      <c r="B1127" s="513"/>
      <c r="C1127" s="513"/>
      <c r="D1127" s="513"/>
      <c r="E1127" s="515"/>
      <c r="F1127" s="515"/>
      <c r="G1127" s="515"/>
      <c r="H1127" s="515"/>
      <c r="I1127" s="515"/>
      <c r="J1127" s="515"/>
      <c r="K1127" s="516"/>
      <c r="L1127" s="517"/>
      <c r="M1127" s="517"/>
      <c r="N1127" s="517"/>
      <c r="O1127" s="518"/>
      <c r="P1127" s="518"/>
    </row>
    <row r="1128" spans="1:16" ht="21.75" customHeight="1" x14ac:dyDescent="0.3">
      <c r="A1128" s="513"/>
      <c r="B1128" s="513"/>
      <c r="C1128" s="513"/>
      <c r="D1128" s="513"/>
      <c r="E1128" s="515"/>
      <c r="F1128" s="515"/>
      <c r="G1128" s="515"/>
      <c r="H1128" s="515"/>
      <c r="I1128" s="515"/>
      <c r="J1128" s="515"/>
      <c r="K1128" s="516"/>
      <c r="L1128" s="517"/>
      <c r="M1128" s="517"/>
      <c r="N1128" s="517"/>
      <c r="O1128" s="518"/>
      <c r="P1128" s="518"/>
    </row>
    <row r="1129" spans="1:16" ht="21.75" customHeight="1" x14ac:dyDescent="0.3">
      <c r="A1129" s="513"/>
      <c r="B1129" s="513"/>
      <c r="C1129" s="513"/>
      <c r="D1129" s="513"/>
      <c r="E1129" s="515"/>
      <c r="F1129" s="515"/>
      <c r="G1129" s="515"/>
      <c r="H1129" s="515"/>
      <c r="I1129" s="515"/>
      <c r="J1129" s="515"/>
      <c r="K1129" s="516"/>
      <c r="L1129" s="517"/>
      <c r="M1129" s="517"/>
      <c r="N1129" s="517"/>
      <c r="O1129" s="518"/>
      <c r="P1129" s="518"/>
    </row>
    <row r="1130" spans="1:16" ht="21.75" customHeight="1" x14ac:dyDescent="0.3">
      <c r="A1130" s="513"/>
      <c r="B1130" s="513"/>
      <c r="C1130" s="513"/>
      <c r="D1130" s="513"/>
      <c r="E1130" s="515"/>
      <c r="F1130" s="515"/>
      <c r="G1130" s="515"/>
      <c r="H1130" s="515"/>
      <c r="I1130" s="515"/>
      <c r="J1130" s="515"/>
      <c r="K1130" s="516"/>
      <c r="L1130" s="517"/>
      <c r="M1130" s="517"/>
      <c r="N1130" s="517"/>
      <c r="O1130" s="518"/>
      <c r="P1130" s="518"/>
    </row>
    <row r="1131" spans="1:16" ht="21.75" customHeight="1" x14ac:dyDescent="0.3">
      <c r="A1131" s="513"/>
      <c r="B1131" s="513"/>
      <c r="C1131" s="513"/>
      <c r="D1131" s="513"/>
      <c r="E1131" s="515"/>
      <c r="F1131" s="515"/>
      <c r="G1131" s="515"/>
      <c r="H1131" s="515"/>
      <c r="I1131" s="515"/>
      <c r="J1131" s="515"/>
      <c r="K1131" s="516"/>
      <c r="L1131" s="517"/>
      <c r="M1131" s="517"/>
      <c r="N1131" s="517"/>
      <c r="O1131" s="518"/>
      <c r="P1131" s="518"/>
    </row>
    <row r="1132" spans="1:16" ht="21.75" customHeight="1" x14ac:dyDescent="0.3">
      <c r="A1132" s="513"/>
      <c r="B1132" s="513"/>
      <c r="C1132" s="513"/>
      <c r="D1132" s="513"/>
      <c r="E1132" s="515"/>
      <c r="F1132" s="515"/>
      <c r="G1132" s="515"/>
      <c r="H1132" s="515"/>
      <c r="I1132" s="515"/>
      <c r="J1132" s="515"/>
      <c r="K1132" s="516"/>
      <c r="L1132" s="517"/>
      <c r="M1132" s="517"/>
      <c r="N1132" s="517"/>
      <c r="O1132" s="518"/>
      <c r="P1132" s="518"/>
    </row>
    <row r="1133" spans="1:16" ht="21.75" customHeight="1" x14ac:dyDescent="0.3">
      <c r="A1133" s="513"/>
      <c r="B1133" s="513"/>
      <c r="C1133" s="513"/>
      <c r="D1133" s="513"/>
      <c r="E1133" s="515"/>
      <c r="F1133" s="515"/>
      <c r="G1133" s="515"/>
      <c r="H1133" s="515"/>
      <c r="I1133" s="515"/>
      <c r="J1133" s="515"/>
      <c r="K1133" s="516"/>
      <c r="L1133" s="517"/>
      <c r="M1133" s="517"/>
      <c r="N1133" s="517"/>
      <c r="O1133" s="518"/>
      <c r="P1133" s="518"/>
    </row>
    <row r="1134" spans="1:16" ht="21.75" customHeight="1" x14ac:dyDescent="0.3">
      <c r="A1134" s="513"/>
      <c r="B1134" s="513"/>
      <c r="C1134" s="513"/>
      <c r="D1134" s="513"/>
      <c r="E1134" s="515"/>
      <c r="F1134" s="515"/>
      <c r="G1134" s="515"/>
      <c r="H1134" s="515"/>
      <c r="I1134" s="515"/>
      <c r="J1134" s="515"/>
      <c r="K1134" s="516"/>
      <c r="L1134" s="517"/>
      <c r="M1134" s="517"/>
      <c r="N1134" s="517"/>
      <c r="O1134" s="518"/>
      <c r="P1134" s="518"/>
    </row>
    <row r="1135" spans="1:16" ht="21.75" customHeight="1" x14ac:dyDescent="0.3">
      <c r="A1135" s="513"/>
      <c r="B1135" s="513"/>
      <c r="C1135" s="513"/>
      <c r="D1135" s="513"/>
      <c r="E1135" s="515"/>
      <c r="F1135" s="515"/>
      <c r="G1135" s="515"/>
      <c r="H1135" s="515"/>
      <c r="I1135" s="515"/>
      <c r="J1135" s="515"/>
      <c r="K1135" s="516"/>
      <c r="L1135" s="517"/>
      <c r="M1135" s="517"/>
      <c r="N1135" s="517"/>
      <c r="O1135" s="518"/>
      <c r="P1135" s="518"/>
    </row>
    <row r="1136" spans="1:16" ht="21.75" customHeight="1" x14ac:dyDescent="0.3">
      <c r="A1136" s="513"/>
      <c r="B1136" s="513"/>
      <c r="C1136" s="513"/>
      <c r="D1136" s="513"/>
      <c r="E1136" s="515"/>
      <c r="F1136" s="515"/>
      <c r="G1136" s="515"/>
      <c r="H1136" s="515"/>
      <c r="I1136" s="515"/>
      <c r="J1136" s="515"/>
      <c r="K1136" s="516"/>
      <c r="L1136" s="517"/>
      <c r="M1136" s="517"/>
      <c r="N1136" s="517"/>
      <c r="O1136" s="518"/>
      <c r="P1136" s="518"/>
    </row>
    <row r="1137" spans="1:16" ht="21.75" customHeight="1" x14ac:dyDescent="0.3">
      <c r="A1137" s="513"/>
      <c r="B1137" s="513"/>
      <c r="C1137" s="513"/>
      <c r="D1137" s="513"/>
      <c r="E1137" s="515"/>
      <c r="F1137" s="515"/>
      <c r="G1137" s="515"/>
      <c r="H1137" s="515"/>
      <c r="I1137" s="515"/>
      <c r="J1137" s="515"/>
      <c r="K1137" s="516"/>
      <c r="L1137" s="517"/>
      <c r="M1137" s="517"/>
      <c r="N1137" s="517"/>
      <c r="O1137" s="518"/>
      <c r="P1137" s="518"/>
    </row>
    <row r="1138" spans="1:16" ht="21.75" customHeight="1" x14ac:dyDescent="0.3">
      <c r="A1138" s="513"/>
      <c r="B1138" s="513"/>
      <c r="C1138" s="513"/>
      <c r="D1138" s="513"/>
      <c r="E1138" s="515"/>
      <c r="F1138" s="515"/>
      <c r="G1138" s="515"/>
      <c r="H1138" s="515"/>
      <c r="I1138" s="515"/>
      <c r="J1138" s="515"/>
      <c r="K1138" s="516"/>
      <c r="L1138" s="517"/>
      <c r="M1138" s="517"/>
      <c r="N1138" s="517"/>
      <c r="O1138" s="518"/>
      <c r="P1138" s="518"/>
    </row>
    <row r="1139" spans="1:16" ht="21.75" customHeight="1" x14ac:dyDescent="0.3">
      <c r="A1139" s="513"/>
      <c r="B1139" s="513"/>
      <c r="C1139" s="513"/>
      <c r="D1139" s="513"/>
      <c r="E1139" s="515"/>
      <c r="F1139" s="515"/>
      <c r="G1139" s="515"/>
      <c r="H1139" s="515"/>
      <c r="I1139" s="515"/>
      <c r="J1139" s="515"/>
      <c r="K1139" s="516"/>
      <c r="L1139" s="517"/>
      <c r="M1139" s="517"/>
      <c r="N1139" s="517"/>
      <c r="O1139" s="518"/>
      <c r="P1139" s="518"/>
    </row>
    <row r="1140" spans="1:16" ht="21.75" customHeight="1" x14ac:dyDescent="0.3">
      <c r="A1140" s="513"/>
      <c r="B1140" s="513"/>
      <c r="C1140" s="513"/>
      <c r="D1140" s="513"/>
      <c r="E1140" s="515"/>
      <c r="F1140" s="515"/>
      <c r="G1140" s="515"/>
      <c r="H1140" s="515"/>
      <c r="I1140" s="515"/>
      <c r="J1140" s="515"/>
      <c r="K1140" s="516"/>
      <c r="L1140" s="517"/>
      <c r="M1140" s="517"/>
      <c r="N1140" s="517"/>
      <c r="O1140" s="518"/>
      <c r="P1140" s="518"/>
    </row>
    <row r="1141" spans="1:16" ht="21.75" customHeight="1" x14ac:dyDescent="0.3">
      <c r="A1141" s="513"/>
      <c r="B1141" s="513"/>
      <c r="C1141" s="513"/>
      <c r="D1141" s="513"/>
      <c r="E1141" s="515"/>
      <c r="F1141" s="515"/>
      <c r="G1141" s="515"/>
      <c r="H1141" s="515"/>
      <c r="I1141" s="515"/>
      <c r="J1141" s="515"/>
      <c r="K1141" s="516"/>
      <c r="L1141" s="517"/>
      <c r="M1141" s="517"/>
      <c r="N1141" s="517"/>
      <c r="O1141" s="518"/>
      <c r="P1141" s="518"/>
    </row>
    <row r="1142" spans="1:16" ht="21.75" customHeight="1" x14ac:dyDescent="0.3">
      <c r="A1142" s="513"/>
      <c r="B1142" s="513"/>
      <c r="C1142" s="513"/>
      <c r="D1142" s="513"/>
      <c r="E1142" s="515"/>
      <c r="F1142" s="515"/>
      <c r="G1142" s="515"/>
      <c r="H1142" s="515"/>
      <c r="I1142" s="515"/>
      <c r="J1142" s="515"/>
      <c r="K1142" s="516"/>
      <c r="L1142" s="517"/>
      <c r="M1142" s="517"/>
      <c r="N1142" s="517"/>
      <c r="O1142" s="518"/>
      <c r="P1142" s="518"/>
    </row>
    <row r="1143" spans="1:16" ht="21.75" customHeight="1" x14ac:dyDescent="0.3">
      <c r="A1143" s="513"/>
      <c r="B1143" s="513"/>
      <c r="C1143" s="513"/>
      <c r="D1143" s="513"/>
      <c r="E1143" s="515"/>
      <c r="F1143" s="515"/>
      <c r="G1143" s="515"/>
      <c r="H1143" s="515"/>
      <c r="I1143" s="515"/>
      <c r="J1143" s="515"/>
      <c r="K1143" s="516"/>
      <c r="L1143" s="517"/>
      <c r="M1143" s="517"/>
      <c r="N1143" s="517"/>
      <c r="O1143" s="518"/>
      <c r="P1143" s="518"/>
    </row>
    <row r="1144" spans="1:16" ht="21.75" customHeight="1" x14ac:dyDescent="0.3">
      <c r="A1144" s="513"/>
      <c r="B1144" s="513"/>
      <c r="C1144" s="513"/>
      <c r="D1144" s="513"/>
      <c r="E1144" s="515"/>
      <c r="F1144" s="515"/>
      <c r="G1144" s="515"/>
      <c r="H1144" s="515"/>
      <c r="I1144" s="515"/>
      <c r="J1144" s="515"/>
      <c r="K1144" s="516"/>
      <c r="L1144" s="517"/>
      <c r="M1144" s="517"/>
      <c r="N1144" s="517"/>
      <c r="O1144" s="518"/>
      <c r="P1144" s="518"/>
    </row>
    <row r="1145" spans="1:16" ht="21.75" customHeight="1" x14ac:dyDescent="0.3">
      <c r="A1145" s="513"/>
      <c r="B1145" s="513"/>
      <c r="C1145" s="513"/>
      <c r="D1145" s="513"/>
      <c r="E1145" s="515"/>
      <c r="F1145" s="515"/>
      <c r="G1145" s="515"/>
      <c r="H1145" s="515"/>
      <c r="I1145" s="515"/>
      <c r="J1145" s="515"/>
      <c r="K1145" s="516"/>
      <c r="L1145" s="517"/>
      <c r="M1145" s="517"/>
      <c r="N1145" s="517"/>
      <c r="O1145" s="518"/>
      <c r="P1145" s="518"/>
    </row>
    <row r="1146" spans="1:16" ht="21.75" customHeight="1" x14ac:dyDescent="0.3">
      <c r="A1146" s="513"/>
      <c r="B1146" s="513"/>
      <c r="C1146" s="513"/>
      <c r="D1146" s="513"/>
      <c r="E1146" s="515"/>
      <c r="F1146" s="515"/>
      <c r="G1146" s="515"/>
      <c r="H1146" s="515"/>
      <c r="I1146" s="515"/>
      <c r="J1146" s="515"/>
      <c r="K1146" s="516"/>
      <c r="L1146" s="517"/>
      <c r="M1146" s="517"/>
      <c r="N1146" s="517"/>
      <c r="O1146" s="518"/>
      <c r="P1146" s="518"/>
    </row>
    <row r="1147" spans="1:16" ht="21.75" customHeight="1" x14ac:dyDescent="0.3">
      <c r="A1147" s="513"/>
      <c r="B1147" s="513"/>
      <c r="C1147" s="513"/>
      <c r="D1147" s="513"/>
      <c r="E1147" s="515"/>
      <c r="F1147" s="515"/>
      <c r="G1147" s="515"/>
      <c r="H1147" s="515"/>
      <c r="I1147" s="515"/>
      <c r="J1147" s="515"/>
      <c r="K1147" s="516"/>
      <c r="L1147" s="517"/>
      <c r="M1147" s="517"/>
      <c r="N1147" s="517"/>
      <c r="O1147" s="518"/>
      <c r="P1147" s="518"/>
    </row>
    <row r="1148" spans="1:16" ht="21.75" customHeight="1" x14ac:dyDescent="0.3">
      <c r="A1148" s="513"/>
      <c r="B1148" s="513"/>
      <c r="C1148" s="513"/>
      <c r="D1148" s="513"/>
      <c r="E1148" s="515"/>
      <c r="F1148" s="515"/>
      <c r="G1148" s="515"/>
      <c r="H1148" s="515"/>
      <c r="I1148" s="515"/>
      <c r="J1148" s="515"/>
      <c r="K1148" s="516"/>
      <c r="L1148" s="517"/>
      <c r="M1148" s="517"/>
      <c r="N1148" s="517"/>
      <c r="O1148" s="518"/>
      <c r="P1148" s="518"/>
    </row>
    <row r="1149" spans="1:16" ht="21.75" customHeight="1" x14ac:dyDescent="0.3">
      <c r="A1149" s="513"/>
      <c r="B1149" s="513"/>
      <c r="C1149" s="513"/>
      <c r="D1149" s="513"/>
      <c r="E1149" s="515"/>
      <c r="F1149" s="515"/>
      <c r="G1149" s="515"/>
      <c r="H1149" s="515"/>
      <c r="I1149" s="515"/>
      <c r="J1149" s="515"/>
      <c r="K1149" s="516"/>
      <c r="L1149" s="517"/>
      <c r="M1149" s="517"/>
      <c r="N1149" s="517"/>
      <c r="O1149" s="518"/>
      <c r="P1149" s="518"/>
    </row>
    <row r="1150" spans="1:16" ht="21.75" customHeight="1" x14ac:dyDescent="0.3">
      <c r="A1150" s="513"/>
      <c r="B1150" s="513"/>
      <c r="C1150" s="513"/>
      <c r="D1150" s="513"/>
      <c r="E1150" s="515"/>
      <c r="F1150" s="515"/>
      <c r="G1150" s="515"/>
      <c r="H1150" s="515"/>
      <c r="I1150" s="515"/>
      <c r="J1150" s="515"/>
      <c r="K1150" s="516"/>
      <c r="L1150" s="517"/>
      <c r="M1150" s="517"/>
      <c r="N1150" s="517"/>
      <c r="O1150" s="518"/>
      <c r="P1150" s="518"/>
    </row>
    <row r="1151" spans="1:16" ht="21.75" customHeight="1" x14ac:dyDescent="0.3">
      <c r="A1151" s="513"/>
      <c r="B1151" s="513"/>
      <c r="C1151" s="513"/>
      <c r="D1151" s="513"/>
      <c r="E1151" s="515"/>
      <c r="F1151" s="515"/>
      <c r="G1151" s="515"/>
      <c r="H1151" s="515"/>
      <c r="I1151" s="515"/>
      <c r="J1151" s="515"/>
      <c r="K1151" s="516"/>
      <c r="L1151" s="517"/>
      <c r="M1151" s="517"/>
      <c r="N1151" s="517"/>
      <c r="O1151" s="518"/>
      <c r="P1151" s="518"/>
    </row>
    <row r="1152" spans="1:16" ht="21.75" customHeight="1" x14ac:dyDescent="0.3">
      <c r="A1152" s="513"/>
      <c r="B1152" s="513"/>
      <c r="C1152" s="513"/>
      <c r="D1152" s="513"/>
      <c r="E1152" s="515"/>
      <c r="F1152" s="515"/>
      <c r="G1152" s="515"/>
      <c r="H1152" s="515"/>
      <c r="I1152" s="515"/>
      <c r="J1152" s="515"/>
      <c r="K1152" s="516"/>
      <c r="L1152" s="517"/>
      <c r="M1152" s="517"/>
      <c r="N1152" s="517"/>
      <c r="O1152" s="518"/>
      <c r="P1152" s="518"/>
    </row>
    <row r="1153" spans="1:16" ht="21.75" customHeight="1" x14ac:dyDescent="0.3">
      <c r="A1153" s="513"/>
      <c r="B1153" s="513"/>
      <c r="C1153" s="513"/>
      <c r="D1153" s="513"/>
      <c r="E1153" s="515"/>
      <c r="F1153" s="515"/>
      <c r="G1153" s="515"/>
      <c r="H1153" s="515"/>
      <c r="I1153" s="515"/>
      <c r="J1153" s="515"/>
      <c r="K1153" s="516"/>
      <c r="L1153" s="517"/>
      <c r="M1153" s="517"/>
      <c r="N1153" s="517"/>
      <c r="O1153" s="518"/>
      <c r="P1153" s="518"/>
    </row>
    <row r="1154" spans="1:16" ht="21.75" customHeight="1" x14ac:dyDescent="0.3">
      <c r="A1154" s="513"/>
      <c r="B1154" s="513"/>
      <c r="C1154" s="513"/>
      <c r="D1154" s="513"/>
      <c r="E1154" s="515"/>
      <c r="F1154" s="515"/>
      <c r="G1154" s="515"/>
      <c r="H1154" s="515"/>
      <c r="I1154" s="515"/>
      <c r="J1154" s="515"/>
      <c r="K1154" s="516"/>
      <c r="L1154" s="517"/>
      <c r="M1154" s="517"/>
      <c r="N1154" s="517"/>
      <c r="O1154" s="518"/>
      <c r="P1154" s="518"/>
    </row>
  </sheetData>
  <mergeCells count="62">
    <mergeCell ref="D349:G349"/>
    <mergeCell ref="D352:F352"/>
    <mergeCell ref="D356:E356"/>
    <mergeCell ref="D278:E278"/>
    <mergeCell ref="D290:G290"/>
    <mergeCell ref="D293:F293"/>
    <mergeCell ref="D297:E297"/>
    <mergeCell ref="D310:G310"/>
    <mergeCell ref="D313:F313"/>
    <mergeCell ref="D317:E317"/>
    <mergeCell ref="D332:F332"/>
    <mergeCell ref="D336:E336"/>
    <mergeCell ref="A1:P1"/>
    <mergeCell ref="A2:P2"/>
    <mergeCell ref="A3:P3"/>
    <mergeCell ref="A7:G7"/>
    <mergeCell ref="D8:G8"/>
    <mergeCell ref="H5:H6"/>
    <mergeCell ref="I5:K5"/>
    <mergeCell ref="L5:M5"/>
    <mergeCell ref="N5:P5"/>
    <mergeCell ref="A5:G6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71:G271"/>
    <mergeCell ref="D274:F274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5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88" max="16383" man="1"/>
    <brk id="269" max="16383" man="1"/>
    <brk id="357" max="16383" man="1"/>
    <brk id="445" max="16383" man="1"/>
    <brk id="535" max="16383" man="1"/>
    <brk id="6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Chawin Chukusol</cp:lastModifiedBy>
  <cp:lastPrinted>2022-04-04T10:53:57Z</cp:lastPrinted>
  <dcterms:modified xsi:type="dcterms:W3CDTF">2022-04-07T08:29:26Z</dcterms:modified>
</cp:coreProperties>
</file>